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385" activeTab="0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Sheet'!$A$1:$D$46</definedName>
    <definedName name="_xlnm.Print_Area" localSheetId="1">'Operating'!$A$1:$S$79</definedName>
    <definedName name="_xlnm.Print_Area" localSheetId="2">'Related'!$A$1:$Q$16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<sst xmlns="http://schemas.openxmlformats.org/spreadsheetml/2006/main" count="148" uniqueCount="128">
  <si>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</si>
  <si>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</si>
  <si>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</si>
  <si>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</si>
  <si>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</si>
  <si>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</si>
  <si>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</si>
  <si>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</si>
  <si>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</si>
  <si>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</si>
  <si>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</si>
  <si>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</si>
  <si>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</si>
  <si>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</si>
  <si>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</si>
  <si>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</si>
  <si>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</si>
  <si>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</si>
  <si>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</si>
  <si>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</si>
  <si>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</si>
  <si>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</si>
  <si>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</si>
  <si>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</si>
  <si>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</si>
  <si>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</si>
  <si>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</si>
  <si>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</si>
  <si>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</si>
  <si>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</si>
  <si>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</si>
  <si>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</si>
  <si>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</si>
  <si>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</si>
  <si>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</si>
  <si>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</si>
  <si>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</si>
  <si>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</si>
  <si>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</si>
  <si>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</si>
  <si>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</si>
  <si>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</si>
  <si>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</si>
  <si>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</si>
  <si>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</si>
  <si>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</si>
  <si>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</si>
  <si>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</si>
  <si>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</si>
  <si>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</si>
  <si>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</si>
  <si>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</si>
  <si>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</si>
  <si>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</si>
  <si>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</si>
  <si>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</si>
  <si>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</si>
  <si>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</si>
  <si>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</si>
  <si>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</si>
  <si>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</si>
  <si>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</si>
  <si>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</si>
  <si>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</si>
  <si>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</si>
  <si>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</si>
  <si>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</si>
  <si>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</si>
  <si>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</si>
  <si>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</si>
  <si>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</si>
  <si>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</si>
  <si>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</si>
  <si>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</si>
  <si>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</si>
  <si>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</si>
  <si>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</si>
  <si>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</si>
  <si>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</si>
  <si>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</si>
  <si>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</si>
  <si>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</si>
  <si>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</si>
  <si>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</si>
  <si>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</si>
  <si>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</si>
  <si>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</si>
  <si>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</si>
  <si>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</si>
  <si>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</si>
  <si>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</si>
  <si>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</si>
  <si>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</si>
  <si>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</si>
  <si>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</si>
  <si>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</si>
  <si>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</si>
  <si>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Deferred charges and prepaid expenses</t>
  </si>
  <si>
    <t>ANALYSIS OF REVENUES AND EXPENDITURES</t>
  </si>
  <si>
    <t xml:space="preserve">        Net transfers to unrestricted fund</t>
  </si>
  <si>
    <t xml:space="preserve">    TAF scholarship donation</t>
  </si>
  <si>
    <t xml:space="preserve">    Deposits held for others</t>
  </si>
  <si>
    <t>Salaries &amp;</t>
  </si>
  <si>
    <t xml:space="preserve">        Beach Volleyball - Women's</t>
  </si>
  <si>
    <t xml:space="preserve">    Beach Volleyball - Women's</t>
  </si>
  <si>
    <t>Tradition fund</t>
  </si>
  <si>
    <t>Electronic Media</t>
  </si>
  <si>
    <t>Utilities</t>
  </si>
  <si>
    <t>AS OF JUNE 30, 2018</t>
  </si>
  <si>
    <t>FOR THE YEAR ENDED JUNE 30, 2018</t>
  </si>
  <si>
    <t xml:space="preserve">        Volleyball - Women's</t>
  </si>
  <si>
    <t>CC561</t>
  </si>
  <si>
    <t>CC554</t>
  </si>
  <si>
    <t>CC1139</t>
  </si>
  <si>
    <t>CC552</t>
  </si>
  <si>
    <t>CC581</t>
  </si>
  <si>
    <t>CC549, 551, 553</t>
  </si>
  <si>
    <t>CC555</t>
  </si>
  <si>
    <t>CC583</t>
  </si>
  <si>
    <t>CC545,546,548,582,1140,1141</t>
  </si>
  <si>
    <t>CC580, 563</t>
  </si>
  <si>
    <t>PG004239 CC545</t>
  </si>
  <si>
    <t>PG004238 CC545</t>
  </si>
  <si>
    <t>CC547</t>
  </si>
  <si>
    <t>SEC</t>
  </si>
  <si>
    <t>RC0167, RC0183</t>
  </si>
  <si>
    <t>PG004241 CC545</t>
  </si>
  <si>
    <t xml:space="preserve">    Sports nutrition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</si>
</sst>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#,##0.0_);\(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61D7C"/>
      <name val="Calibri"/>
      <family val="2"/>
    </font>
    <font>
      <sz val="10"/>
      <color rgb="FFFF0000"/>
      <name val="Calibri"/>
      <family val="2"/>
    </font>
    <font>
      <b/>
      <sz val="12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65" fontId="41" fillId="0" borderId="0" xfId="0" applyNumberFormat="1" applyFont="1" applyAlignment="1">
      <alignment/>
    </xf>
    <xf numFmtId="43" fontId="41" fillId="0" borderId="0" xfId="42" applyFont="1" applyAlignment="1">
      <alignment/>
    </xf>
    <xf numFmtId="43" fontId="41" fillId="0" borderId="0" xfId="0" applyNumberFormat="1" applyFont="1" applyAlignment="1">
      <alignment/>
    </xf>
    <xf numFmtId="165" fontId="41" fillId="0" borderId="0" xfId="42" applyNumberFormat="1" applyFont="1" applyAlignment="1">
      <alignment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164" fontId="22" fillId="0" borderId="11" xfId="48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37" fontId="22" fillId="0" borderId="0" xfId="59" applyFont="1" applyFill="1" applyAlignment="1" applyProtection="1">
      <alignment horizontal="left"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4" fontId="22" fillId="0" borderId="13" xfId="46" applyNumberFormat="1" applyFont="1" applyFill="1" applyBorder="1" applyAlignment="1" applyProtection="1">
      <alignment vertical="center"/>
      <protection/>
    </xf>
    <xf numFmtId="43" fontId="43" fillId="0" borderId="0" xfId="42" applyFont="1" applyAlignment="1">
      <alignment/>
    </xf>
    <xf numFmtId="165" fontId="43" fillId="0" borderId="0" xfId="42" applyNumberFormat="1" applyFont="1" applyAlignment="1">
      <alignment/>
    </xf>
    <xf numFmtId="43" fontId="0" fillId="0" borderId="0" xfId="42" applyFont="1" applyAlignment="1">
      <alignment horizontal="center"/>
    </xf>
    <xf numFmtId="43" fontId="41" fillId="33" borderId="0" xfId="42" applyFont="1" applyFill="1" applyAlignment="1">
      <alignment/>
    </xf>
    <xf numFmtId="37" fontId="22" fillId="0" borderId="10" xfId="59" applyNumberFormat="1" applyFont="1" applyFill="1" applyBorder="1" applyAlignment="1" applyProtection="1">
      <alignment vertical="center"/>
      <protection/>
    </xf>
    <xf numFmtId="2" fontId="41" fillId="0" borderId="0" xfId="0" applyNumberFormat="1" applyFont="1" applyAlignment="1">
      <alignment/>
    </xf>
    <xf numFmtId="37" fontId="44" fillId="0" borderId="0" xfId="60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left"/>
    </xf>
    <xf numFmtId="0" fontId="22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</xdr:row>
      <xdr:rowOff>19050</xdr:rowOff>
    </xdr:from>
    <xdr:to>
      <xdr:col>0</xdr:col>
      <xdr:colOff>2047875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9525</xdr:rowOff>
    </xdr:from>
    <xdr:to>
      <xdr:col>0</xdr:col>
      <xdr:colOff>1885950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6195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2</xdr:col>
      <xdr:colOff>28575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9.421875" style="1" bestFit="1" customWidth="1"/>
    <col min="7" max="7" width="10.00390625" style="1" bestFit="1" customWidth="1"/>
    <col min="8" max="16384" width="9.140625" style="1" customWidth="1"/>
  </cols>
  <sheetData>
    <row r="3" spans="1:4" ht="15.75">
      <c r="A3" s="47"/>
      <c r="B3" s="45" t="s">
        <v>33</v>
      </c>
      <c r="C3" s="45"/>
      <c r="D3" s="45"/>
    </row>
    <row r="4" spans="1:4" ht="9" customHeight="1">
      <c r="A4" s="47"/>
      <c r="B4" s="8"/>
      <c r="C4" s="9"/>
      <c r="D4" s="10"/>
    </row>
    <row r="5" spans="1:4" ht="15">
      <c r="A5" s="47"/>
      <c r="B5" s="46" t="s">
        <v>0</v>
      </c>
      <c r="C5" s="46"/>
      <c r="D5" s="46"/>
    </row>
    <row r="6" spans="1:4" ht="15">
      <c r="A6" s="47"/>
      <c r="B6" s="46" t="s">
        <v>108</v>
      </c>
      <c r="C6" s="46"/>
      <c r="D6" s="46"/>
    </row>
    <row r="7" ht="12.75"/>
    <row r="10" spans="1:4" ht="15">
      <c r="A10" s="11" t="s">
        <v>1</v>
      </c>
      <c r="B10" s="11"/>
      <c r="C10" s="12"/>
      <c r="D10" s="11"/>
    </row>
    <row r="11" spans="1:4" ht="15">
      <c r="A11" s="11" t="s">
        <v>2</v>
      </c>
      <c r="B11" s="11"/>
      <c r="C11" s="13"/>
      <c r="D11" s="14">
        <f>29030954+971856</f>
        <v>30002810</v>
      </c>
    </row>
    <row r="12" spans="1:4" ht="15">
      <c r="A12" s="11" t="s">
        <v>17</v>
      </c>
      <c r="B12" s="11"/>
      <c r="C12" s="13"/>
      <c r="D12" s="15">
        <v>1105990</v>
      </c>
    </row>
    <row r="13" spans="1:4" ht="15">
      <c r="A13" s="11" t="s">
        <v>97</v>
      </c>
      <c r="B13" s="11"/>
      <c r="C13" s="13"/>
      <c r="D13" s="15">
        <v>1375300</v>
      </c>
    </row>
    <row r="14" spans="1:4" ht="15">
      <c r="A14" s="11" t="s">
        <v>3</v>
      </c>
      <c r="B14" s="11"/>
      <c r="C14" s="16"/>
      <c r="D14" s="17">
        <f>SUM(D11:D13)</f>
        <v>32484100</v>
      </c>
    </row>
    <row r="15" spans="1:4" ht="15">
      <c r="A15" s="11"/>
      <c r="B15" s="11"/>
      <c r="C15" s="16"/>
      <c r="D15" s="16"/>
    </row>
    <row r="16" spans="1:4" ht="15">
      <c r="A16" s="11" t="s">
        <v>4</v>
      </c>
      <c r="B16" s="11"/>
      <c r="C16" s="16"/>
      <c r="D16" s="16"/>
    </row>
    <row r="17" spans="1:4" ht="15">
      <c r="A17" s="11" t="s">
        <v>5</v>
      </c>
      <c r="B17" s="11"/>
      <c r="C17" s="16"/>
      <c r="D17" s="16">
        <f>1131559+68479</f>
        <v>1200038</v>
      </c>
    </row>
    <row r="18" spans="1:4" ht="15">
      <c r="A18" s="11" t="s">
        <v>101</v>
      </c>
      <c r="B18" s="11"/>
      <c r="C18" s="16"/>
      <c r="D18" s="16">
        <v>0</v>
      </c>
    </row>
    <row r="19" spans="1:4" ht="15">
      <c r="A19" s="11" t="s">
        <v>19</v>
      </c>
      <c r="B19" s="11"/>
      <c r="C19" s="16"/>
      <c r="D19" s="16">
        <v>29529902</v>
      </c>
    </row>
    <row r="20" spans="1:4" ht="15">
      <c r="A20" s="11" t="s">
        <v>6</v>
      </c>
      <c r="B20" s="11"/>
      <c r="C20" s="16"/>
      <c r="D20" s="17">
        <f>SUM(D17:D19)</f>
        <v>30729940</v>
      </c>
    </row>
    <row r="21" spans="1:4" ht="15">
      <c r="A21" s="11"/>
      <c r="B21" s="11"/>
      <c r="C21" s="16"/>
      <c r="D21" s="18"/>
    </row>
    <row r="22" spans="1:4" ht="15.75" thickBot="1">
      <c r="A22" s="11" t="s">
        <v>7</v>
      </c>
      <c r="B22" s="11"/>
      <c r="C22" s="16"/>
      <c r="D22" s="19">
        <f>D14-D20</f>
        <v>1754160</v>
      </c>
    </row>
    <row r="23" spans="1:4" s="2" customFormat="1" ht="15.75" thickTop="1">
      <c r="A23" s="20"/>
      <c r="B23" s="20"/>
      <c r="C23" s="21"/>
      <c r="D23" s="22"/>
    </row>
    <row r="24" spans="1:4" s="2" customFormat="1" ht="15">
      <c r="A24" s="20"/>
      <c r="B24" s="20"/>
      <c r="C24" s="21"/>
      <c r="D24" s="22"/>
    </row>
    <row r="25" spans="1:4" s="2" customFormat="1" ht="15">
      <c r="A25" s="20"/>
      <c r="B25" s="20"/>
      <c r="C25" s="21"/>
      <c r="D25" s="22"/>
    </row>
    <row r="26" spans="1:4" s="2" customFormat="1" ht="15">
      <c r="A26" s="20"/>
      <c r="B26" s="46" t="s">
        <v>8</v>
      </c>
      <c r="C26" s="46"/>
      <c r="D26" s="46"/>
    </row>
    <row r="27" spans="1:4" ht="15">
      <c r="A27" s="20"/>
      <c r="B27" s="46" t="s">
        <v>109</v>
      </c>
      <c r="C27" s="46"/>
      <c r="D27" s="46"/>
    </row>
    <row r="28" spans="1:4" ht="9.75" customHeight="1">
      <c r="A28" s="20"/>
      <c r="B28" s="23"/>
      <c r="C28" s="23"/>
      <c r="D28" s="23"/>
    </row>
    <row r="29" spans="1:4" ht="6" customHeight="1">
      <c r="A29" s="20"/>
      <c r="B29" s="23"/>
      <c r="C29" s="23"/>
      <c r="D29" s="23"/>
    </row>
    <row r="30" spans="1:4" ht="15">
      <c r="A30" s="20"/>
      <c r="B30" s="20"/>
      <c r="C30" s="21"/>
      <c r="D30" s="22"/>
    </row>
    <row r="31" spans="1:4" ht="15">
      <c r="A31" s="11" t="s">
        <v>9</v>
      </c>
      <c r="B31" s="11"/>
      <c r="C31" s="16"/>
      <c r="D31" s="18"/>
    </row>
    <row r="32" spans="1:4" ht="15">
      <c r="A32" s="11" t="s">
        <v>10</v>
      </c>
      <c r="B32" s="11"/>
      <c r="C32" s="16"/>
      <c r="D32" s="18"/>
    </row>
    <row r="33" spans="1:4" ht="15">
      <c r="A33" s="11" t="s">
        <v>11</v>
      </c>
      <c r="B33" s="11"/>
      <c r="C33" s="16"/>
      <c r="D33" s="24">
        <v>779306</v>
      </c>
    </row>
    <row r="34" spans="1:4" ht="15">
      <c r="A34" s="11" t="s">
        <v>12</v>
      </c>
      <c r="B34" s="11"/>
      <c r="C34" s="16"/>
      <c r="D34" s="16">
        <v>2676366</v>
      </c>
    </row>
    <row r="35" spans="1:4" ht="15">
      <c r="A35" s="11" t="s">
        <v>99</v>
      </c>
      <c r="B35" s="11"/>
      <c r="C35" s="16"/>
      <c r="D35" s="16">
        <v>-1764077</v>
      </c>
    </row>
    <row r="36" spans="1:4" ht="15">
      <c r="A36" s="11" t="s">
        <v>94</v>
      </c>
      <c r="B36" s="11"/>
      <c r="C36" s="16"/>
      <c r="D36" s="16">
        <v>-840812</v>
      </c>
    </row>
    <row r="37" spans="1:7" ht="15">
      <c r="A37" s="11" t="s">
        <v>13</v>
      </c>
      <c r="B37" s="11"/>
      <c r="C37" s="16"/>
      <c r="D37" s="17">
        <f>SUM(D33:D36)</f>
        <v>850783</v>
      </c>
      <c r="G37" s="4"/>
    </row>
    <row r="38" spans="1:4" ht="15">
      <c r="A38" s="11"/>
      <c r="B38" s="11"/>
      <c r="C38" s="16"/>
      <c r="D38" s="16"/>
    </row>
    <row r="39" spans="1:4" ht="15">
      <c r="A39" s="11" t="s">
        <v>14</v>
      </c>
      <c r="B39" s="11"/>
      <c r="C39" s="16"/>
      <c r="D39" s="16"/>
    </row>
    <row r="40" spans="1:4" ht="15">
      <c r="A40" s="11" t="s">
        <v>11</v>
      </c>
      <c r="B40" s="11"/>
      <c r="C40" s="16"/>
      <c r="D40" s="16">
        <v>782981</v>
      </c>
    </row>
    <row r="41" spans="1:4" ht="15">
      <c r="A41" s="11" t="s">
        <v>15</v>
      </c>
      <c r="B41" s="11"/>
      <c r="C41" s="16"/>
      <c r="D41" s="16">
        <v>707092</v>
      </c>
    </row>
    <row r="42" spans="1:4" ht="15">
      <c r="A42" s="11" t="s">
        <v>20</v>
      </c>
      <c r="B42" s="11"/>
      <c r="C42" s="16"/>
      <c r="D42" s="16">
        <f>-586695-1</f>
        <v>-586696</v>
      </c>
    </row>
    <row r="43" spans="1:7" ht="15">
      <c r="A43" s="11" t="s">
        <v>96</v>
      </c>
      <c r="B43" s="11"/>
      <c r="C43" s="16"/>
      <c r="D43" s="43">
        <f>SUM(D40:D42)</f>
        <v>903377</v>
      </c>
      <c r="F43" s="44"/>
      <c r="G43" s="7"/>
    </row>
    <row r="44" spans="1:4" ht="15">
      <c r="A44" s="11"/>
      <c r="B44" s="11"/>
      <c r="C44" s="12"/>
      <c r="D44" s="16"/>
    </row>
    <row r="45" spans="1:7" ht="15.75" thickBot="1">
      <c r="A45" s="11" t="s">
        <v>16</v>
      </c>
      <c r="B45" s="11"/>
      <c r="C45" s="16"/>
      <c r="D45" s="25">
        <f>D37+D43</f>
        <v>1754160</v>
      </c>
      <c r="G45" s="4"/>
    </row>
    <row r="46" spans="1:4" ht="15.75" thickTop="1">
      <c r="A46" s="2"/>
      <c r="B46" s="20"/>
      <c r="C46" s="26"/>
      <c r="D46" s="2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1:D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92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B92" sqref="B92"/>
    </sheetView>
  </sheetViews>
  <sheetFormatPr defaultColWidth="9.140625" defaultRowHeight="15"/>
  <cols>
    <col min="1" max="1" width="29.8515625" style="1" bestFit="1" customWidth="1"/>
    <col min="2" max="2" width="1.7109375" style="1" customWidth="1"/>
    <col min="3" max="3" width="15.28125" style="1" bestFit="1" customWidth="1"/>
    <col min="4" max="4" width="1.7109375" style="1" customWidth="1"/>
    <col min="5" max="5" width="14.140625" style="1" bestFit="1" customWidth="1"/>
    <col min="6" max="6" width="1.7109375" style="1" customWidth="1"/>
    <col min="7" max="7" width="13.421875" style="1" bestFit="1" customWidth="1"/>
    <col min="8" max="8" width="1.7109375" style="1" customWidth="1"/>
    <col min="9" max="9" width="14.28125" style="1" bestFit="1" customWidth="1"/>
    <col min="10" max="10" width="1.7109375" style="1" customWidth="1"/>
    <col min="11" max="11" width="14.28125" style="1" bestFit="1" customWidth="1"/>
    <col min="12" max="12" width="1.7109375" style="1" customWidth="1"/>
    <col min="13" max="13" width="14.57421875" style="1" bestFit="1" customWidth="1"/>
    <col min="14" max="14" width="1.7109375" style="1" customWidth="1"/>
    <col min="15" max="15" width="12.7109375" style="1" bestFit="1" customWidth="1"/>
    <col min="16" max="16" width="1.7109375" style="1" customWidth="1"/>
    <col min="17" max="17" width="15.00390625" style="1" bestFit="1" customWidth="1"/>
    <col min="18" max="18" width="1.7109375" style="1" customWidth="1"/>
    <col min="19" max="19" width="14.28125" style="1" bestFit="1" customWidth="1"/>
    <col min="20" max="20" width="2.7109375" style="1" customWidth="1"/>
    <col min="21" max="21" width="14.28125" style="5" bestFit="1" customWidth="1"/>
    <col min="22" max="22" width="14.140625" style="1" bestFit="1" customWidth="1"/>
    <col min="23" max="23" width="15.00390625" style="5" bestFit="1" customWidth="1"/>
    <col min="24" max="24" width="15.00390625" style="5" customWidth="1"/>
    <col min="25" max="25" width="11.57421875" style="1" bestFit="1" customWidth="1"/>
    <col min="26" max="16384" width="9.140625" style="1" customWidth="1"/>
  </cols>
  <sheetData>
    <row r="3" spans="1:19" ht="15.75">
      <c r="A3" s="49"/>
      <c r="C3" s="45" t="s">
        <v>33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9" customHeight="1">
      <c r="A4" s="49"/>
      <c r="C4" s="8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</row>
    <row r="5" spans="1:19" ht="15">
      <c r="A5" s="49"/>
      <c r="C5" s="46" t="s">
        <v>98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5">
      <c r="A6" s="49"/>
      <c r="C6" s="46" t="s">
        <v>109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24" s="2" customFormat="1" ht="15">
      <c r="B9" s="27"/>
      <c r="C9" s="28"/>
      <c r="D9" s="27"/>
      <c r="E9" s="48" t="s">
        <v>31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27"/>
      <c r="S9" s="29" t="s">
        <v>29</v>
      </c>
      <c r="U9" s="30"/>
      <c r="W9" s="30"/>
      <c r="X9" s="30"/>
    </row>
    <row r="10" spans="2:24" s="31" customFormat="1" ht="15">
      <c r="B10" s="29"/>
      <c r="C10" s="29"/>
      <c r="D10" s="29"/>
      <c r="E10" s="29" t="s">
        <v>102</v>
      </c>
      <c r="F10" s="29"/>
      <c r="G10" s="29" t="s">
        <v>22</v>
      </c>
      <c r="H10" s="29"/>
      <c r="I10" s="29" t="s">
        <v>24</v>
      </c>
      <c r="J10" s="29"/>
      <c r="K10" s="29" t="s">
        <v>26</v>
      </c>
      <c r="L10" s="29"/>
      <c r="M10" s="29"/>
      <c r="N10" s="29"/>
      <c r="O10" s="29"/>
      <c r="P10" s="29"/>
      <c r="Q10" s="29"/>
      <c r="R10" s="29"/>
      <c r="S10" s="29" t="s">
        <v>30</v>
      </c>
      <c r="U10" s="32"/>
      <c r="W10" s="41"/>
      <c r="X10" s="41"/>
    </row>
    <row r="11" spans="2:24" s="31" customFormat="1" ht="15">
      <c r="B11" s="29"/>
      <c r="C11" s="33" t="s">
        <v>29</v>
      </c>
      <c r="D11" s="29"/>
      <c r="E11" s="33" t="s">
        <v>21</v>
      </c>
      <c r="F11" s="29"/>
      <c r="G11" s="33" t="s">
        <v>23</v>
      </c>
      <c r="H11" s="29"/>
      <c r="I11" s="33" t="s">
        <v>25</v>
      </c>
      <c r="J11" s="29"/>
      <c r="K11" s="33" t="s">
        <v>27</v>
      </c>
      <c r="L11" s="29"/>
      <c r="M11" s="33" t="s">
        <v>34</v>
      </c>
      <c r="N11" s="29"/>
      <c r="O11" s="33" t="s">
        <v>28</v>
      </c>
      <c r="P11" s="29"/>
      <c r="Q11" s="33" t="s">
        <v>18</v>
      </c>
      <c r="R11" s="29"/>
      <c r="S11" s="33" t="s">
        <v>31</v>
      </c>
      <c r="U11" s="32"/>
      <c r="W11" s="32"/>
      <c r="X11" s="41"/>
    </row>
    <row r="12" spans="1:19" ht="15">
      <c r="A12" s="11" t="s">
        <v>50</v>
      </c>
      <c r="B12" s="11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</row>
    <row r="13" spans="1:23" ht="15">
      <c r="A13" s="11" t="s">
        <v>35</v>
      </c>
      <c r="B13" s="11"/>
      <c r="C13" s="34">
        <f>1863164-1586842</f>
        <v>276322</v>
      </c>
      <c r="D13" s="24"/>
      <c r="E13" s="34">
        <f>3472563+1</f>
        <v>3472564</v>
      </c>
      <c r="F13" s="24"/>
      <c r="G13" s="34">
        <v>1517882</v>
      </c>
      <c r="H13" s="24"/>
      <c r="I13" s="34">
        <f>6348094+1</f>
        <v>6348095</v>
      </c>
      <c r="J13" s="24"/>
      <c r="K13" s="34">
        <v>7</v>
      </c>
      <c r="L13" s="24"/>
      <c r="M13" s="34">
        <v>138169</v>
      </c>
      <c r="N13" s="24"/>
      <c r="O13" s="34">
        <f>49959+10272+3248+3995</f>
        <v>67474</v>
      </c>
      <c r="P13" s="24"/>
      <c r="Q13" s="34">
        <f aca="true" t="shared" si="0" ref="Q13:Q22">SUM(E13:O13)</f>
        <v>11544191</v>
      </c>
      <c r="R13" s="24"/>
      <c r="S13" s="34">
        <f aca="true" t="shared" si="1" ref="S13:S27">C13-Q13</f>
        <v>-11267869</v>
      </c>
      <c r="U13" s="5">
        <v>-11267869.65</v>
      </c>
      <c r="V13" s="4">
        <f>U13-S13</f>
        <v>-0.650000000372529</v>
      </c>
      <c r="W13" s="5" t="s">
        <v>119</v>
      </c>
    </row>
    <row r="14" spans="1:24" ht="15">
      <c r="A14" s="11" t="s">
        <v>32</v>
      </c>
      <c r="B14" s="11"/>
      <c r="C14" s="15">
        <v>0</v>
      </c>
      <c r="D14" s="12"/>
      <c r="E14" s="15">
        <v>0</v>
      </c>
      <c r="F14" s="12"/>
      <c r="G14" s="15">
        <v>0</v>
      </c>
      <c r="H14" s="12"/>
      <c r="I14" s="15">
        <v>2025</v>
      </c>
      <c r="J14" s="12"/>
      <c r="K14" s="15">
        <v>4952122</v>
      </c>
      <c r="L14" s="12"/>
      <c r="M14" s="15">
        <v>0</v>
      </c>
      <c r="N14" s="12"/>
      <c r="O14" s="15">
        <v>0</v>
      </c>
      <c r="P14" s="12"/>
      <c r="Q14" s="15">
        <f t="shared" si="0"/>
        <v>4954147</v>
      </c>
      <c r="R14" s="12"/>
      <c r="S14" s="11">
        <f t="shared" si="1"/>
        <v>-4954147</v>
      </c>
      <c r="U14" s="5">
        <v>-4954147</v>
      </c>
      <c r="V14" s="4">
        <f>U14-S14</f>
        <v>0</v>
      </c>
      <c r="W14" s="42" t="s">
        <v>118</v>
      </c>
      <c r="X14" s="42"/>
    </row>
    <row r="15" spans="1:23" ht="15">
      <c r="A15" s="11" t="s">
        <v>36</v>
      </c>
      <c r="B15" s="11"/>
      <c r="C15" s="15">
        <v>0</v>
      </c>
      <c r="D15" s="35"/>
      <c r="E15" s="15">
        <v>1029976</v>
      </c>
      <c r="F15" s="35"/>
      <c r="G15" s="15">
        <v>162209</v>
      </c>
      <c r="H15" s="35"/>
      <c r="I15" s="15">
        <v>2557250</v>
      </c>
      <c r="J15" s="35"/>
      <c r="K15" s="15">
        <v>0</v>
      </c>
      <c r="L15" s="35"/>
      <c r="M15" s="15">
        <v>0</v>
      </c>
      <c r="N15" s="35"/>
      <c r="O15" s="15">
        <v>0</v>
      </c>
      <c r="P15" s="35"/>
      <c r="Q15" s="15">
        <f t="shared" si="0"/>
        <v>3749435</v>
      </c>
      <c r="R15" s="35"/>
      <c r="S15" s="15">
        <f t="shared" si="1"/>
        <v>-3749435</v>
      </c>
      <c r="U15" s="5">
        <v>-3749435.12</v>
      </c>
      <c r="V15" s="4">
        <f aca="true" t="shared" si="2" ref="V15:V28">U15-S15</f>
        <v>-0.12000000011175871</v>
      </c>
      <c r="W15" s="5" t="s">
        <v>117</v>
      </c>
    </row>
    <row r="16" spans="1:23" ht="15">
      <c r="A16" s="11" t="s">
        <v>37</v>
      </c>
      <c r="B16" s="11"/>
      <c r="C16" s="15">
        <v>579744</v>
      </c>
      <c r="D16" s="35"/>
      <c r="E16" s="15">
        <f>2357799-1</f>
        <v>2357798</v>
      </c>
      <c r="F16" s="35"/>
      <c r="G16" s="15">
        <v>827070</v>
      </c>
      <c r="H16" s="35"/>
      <c r="I16" s="15">
        <v>17639314</v>
      </c>
      <c r="J16" s="35"/>
      <c r="K16" s="15">
        <f>2938308+1</f>
        <v>2938309</v>
      </c>
      <c r="L16" s="35"/>
      <c r="M16" s="15">
        <v>0</v>
      </c>
      <c r="N16" s="35"/>
      <c r="O16" s="15">
        <v>134012</v>
      </c>
      <c r="P16" s="35"/>
      <c r="Q16" s="15">
        <f t="shared" si="0"/>
        <v>23896503</v>
      </c>
      <c r="R16" s="35"/>
      <c r="S16" s="15">
        <f t="shared" si="1"/>
        <v>-23316759</v>
      </c>
      <c r="U16" s="5">
        <v>-23316758.65</v>
      </c>
      <c r="V16" s="4">
        <f t="shared" si="2"/>
        <v>0.3500000014901161</v>
      </c>
      <c r="W16" s="5" t="s">
        <v>116</v>
      </c>
    </row>
    <row r="17" spans="1:24" ht="15">
      <c r="A17" s="11" t="s">
        <v>38</v>
      </c>
      <c r="B17" s="11"/>
      <c r="C17" s="15">
        <v>0</v>
      </c>
      <c r="D17" s="35"/>
      <c r="E17" s="15">
        <v>0</v>
      </c>
      <c r="F17" s="35"/>
      <c r="G17" s="15">
        <v>0</v>
      </c>
      <c r="H17" s="35"/>
      <c r="I17" s="15">
        <v>2259155</v>
      </c>
      <c r="J17" s="35"/>
      <c r="K17" s="15">
        <v>0</v>
      </c>
      <c r="L17" s="35"/>
      <c r="M17" s="15">
        <v>0</v>
      </c>
      <c r="N17" s="35"/>
      <c r="O17" s="15">
        <v>0</v>
      </c>
      <c r="P17" s="35"/>
      <c r="Q17" s="15">
        <f t="shared" si="0"/>
        <v>2259155</v>
      </c>
      <c r="R17" s="35"/>
      <c r="S17" s="15">
        <f t="shared" si="1"/>
        <v>-2259155</v>
      </c>
      <c r="U17" s="5">
        <v>-2259154.9</v>
      </c>
      <c r="V17" s="4">
        <f t="shared" si="2"/>
        <v>0.10000000009313226</v>
      </c>
      <c r="W17" s="42" t="s">
        <v>115</v>
      </c>
      <c r="X17" s="42"/>
    </row>
    <row r="18" spans="1:23" ht="15">
      <c r="A18" s="11" t="s">
        <v>39</v>
      </c>
      <c r="B18" s="11"/>
      <c r="C18" s="15">
        <v>313408</v>
      </c>
      <c r="D18" s="35"/>
      <c r="E18" s="15">
        <v>0</v>
      </c>
      <c r="F18" s="35"/>
      <c r="G18" s="15">
        <v>0</v>
      </c>
      <c r="H18" s="35"/>
      <c r="I18" s="15">
        <v>0</v>
      </c>
      <c r="J18" s="35"/>
      <c r="K18" s="15">
        <v>0</v>
      </c>
      <c r="L18" s="35"/>
      <c r="M18" s="15">
        <v>0</v>
      </c>
      <c r="N18" s="35"/>
      <c r="O18" s="15">
        <v>0</v>
      </c>
      <c r="P18" s="35"/>
      <c r="Q18" s="15">
        <f t="shared" si="0"/>
        <v>0</v>
      </c>
      <c r="R18" s="35"/>
      <c r="S18" s="15">
        <f t="shared" si="1"/>
        <v>313408</v>
      </c>
      <c r="U18" s="5">
        <v>313408.24</v>
      </c>
      <c r="V18" s="4">
        <f t="shared" si="2"/>
        <v>0.23999999999068677</v>
      </c>
      <c r="W18" s="5" t="s">
        <v>121</v>
      </c>
    </row>
    <row r="19" spans="1:23" ht="15">
      <c r="A19" s="11" t="s">
        <v>40</v>
      </c>
      <c r="B19" s="11"/>
      <c r="C19" s="15">
        <v>706380</v>
      </c>
      <c r="D19" s="35"/>
      <c r="E19" s="15">
        <v>0</v>
      </c>
      <c r="F19" s="35"/>
      <c r="G19" s="15">
        <v>0</v>
      </c>
      <c r="H19" s="35"/>
      <c r="I19" s="15">
        <v>0</v>
      </c>
      <c r="J19" s="35"/>
      <c r="K19" s="15">
        <v>0</v>
      </c>
      <c r="L19" s="35"/>
      <c r="M19" s="15">
        <v>0</v>
      </c>
      <c r="N19" s="35"/>
      <c r="O19" s="15">
        <v>0</v>
      </c>
      <c r="P19" s="35"/>
      <c r="Q19" s="15">
        <f t="shared" si="0"/>
        <v>0</v>
      </c>
      <c r="R19" s="35"/>
      <c r="S19" s="15">
        <f t="shared" si="1"/>
        <v>706380</v>
      </c>
      <c r="U19" s="5">
        <v>706380</v>
      </c>
      <c r="V19" s="4">
        <f t="shared" si="2"/>
        <v>0</v>
      </c>
      <c r="W19" s="5" t="s">
        <v>122</v>
      </c>
    </row>
    <row r="20" spans="1:24" ht="15">
      <c r="A20" s="11" t="s">
        <v>41</v>
      </c>
      <c r="B20" s="11"/>
      <c r="C20" s="15">
        <v>3073470</v>
      </c>
      <c r="D20" s="35"/>
      <c r="E20" s="15">
        <v>113015</v>
      </c>
      <c r="F20" s="35"/>
      <c r="G20" s="15">
        <v>35666</v>
      </c>
      <c r="H20" s="35"/>
      <c r="I20" s="15">
        <v>909675</v>
      </c>
      <c r="J20" s="35"/>
      <c r="K20" s="15">
        <v>0</v>
      </c>
      <c r="L20" s="35"/>
      <c r="M20" s="15">
        <v>106669</v>
      </c>
      <c r="N20" s="35"/>
      <c r="O20" s="15">
        <v>10978</v>
      </c>
      <c r="P20" s="35"/>
      <c r="Q20" s="15">
        <f t="shared" si="0"/>
        <v>1176003</v>
      </c>
      <c r="R20" s="35"/>
      <c r="S20" s="15">
        <f t="shared" si="1"/>
        <v>1897467</v>
      </c>
      <c r="U20" s="5">
        <v>1897466.81</v>
      </c>
      <c r="V20" s="4">
        <f t="shared" si="2"/>
        <v>-0.18999999994412065</v>
      </c>
      <c r="W20" s="42" t="s">
        <v>114</v>
      </c>
      <c r="X20" s="42"/>
    </row>
    <row r="21" spans="1:24" ht="15">
      <c r="A21" s="11" t="s">
        <v>42</v>
      </c>
      <c r="B21" s="11"/>
      <c r="C21" s="15">
        <v>0</v>
      </c>
      <c r="D21" s="35"/>
      <c r="E21" s="15">
        <v>0</v>
      </c>
      <c r="F21" s="35"/>
      <c r="G21" s="15">
        <v>0</v>
      </c>
      <c r="H21" s="35"/>
      <c r="I21" s="15">
        <v>51450</v>
      </c>
      <c r="J21" s="35"/>
      <c r="K21" s="15">
        <v>0</v>
      </c>
      <c r="L21" s="35"/>
      <c r="M21" s="15">
        <v>0</v>
      </c>
      <c r="N21" s="35"/>
      <c r="O21" s="15">
        <v>0</v>
      </c>
      <c r="P21" s="35"/>
      <c r="Q21" s="15">
        <f t="shared" si="0"/>
        <v>51450</v>
      </c>
      <c r="R21" s="35"/>
      <c r="S21" s="15">
        <f t="shared" si="1"/>
        <v>-51450</v>
      </c>
      <c r="U21" s="5">
        <v>-51449.61</v>
      </c>
      <c r="V21" s="4">
        <f t="shared" si="2"/>
        <v>0.3899999999994179</v>
      </c>
      <c r="W21" s="42" t="s">
        <v>120</v>
      </c>
      <c r="X21" s="42"/>
    </row>
    <row r="22" spans="1:22" ht="15">
      <c r="A22" s="11" t="s">
        <v>43</v>
      </c>
      <c r="B22" s="11"/>
      <c r="C22" s="15">
        <f>Related!Q16</f>
        <v>25234964</v>
      </c>
      <c r="D22" s="35"/>
      <c r="E22" s="15">
        <v>0</v>
      </c>
      <c r="F22" s="35"/>
      <c r="G22" s="15">
        <v>0</v>
      </c>
      <c r="H22" s="35"/>
      <c r="I22" s="15">
        <v>0</v>
      </c>
      <c r="J22" s="35"/>
      <c r="K22" s="15">
        <v>0</v>
      </c>
      <c r="L22" s="35"/>
      <c r="M22" s="15">
        <v>0</v>
      </c>
      <c r="N22" s="35"/>
      <c r="O22" s="15">
        <v>0</v>
      </c>
      <c r="P22" s="35"/>
      <c r="Q22" s="15">
        <f t="shared" si="0"/>
        <v>0</v>
      </c>
      <c r="R22" s="35"/>
      <c r="S22" s="15">
        <f t="shared" si="1"/>
        <v>25234964</v>
      </c>
      <c r="U22" s="5">
        <f>Related!S16</f>
        <v>25234964.200000003</v>
      </c>
      <c r="V22" s="4">
        <f t="shared" si="2"/>
        <v>0.20000000298023224</v>
      </c>
    </row>
    <row r="23" spans="1:23" ht="15">
      <c r="A23" s="11" t="s">
        <v>95</v>
      </c>
      <c r="B23" s="11"/>
      <c r="C23" s="15">
        <v>27176584</v>
      </c>
      <c r="D23" s="35"/>
      <c r="E23" s="15">
        <v>0</v>
      </c>
      <c r="F23" s="35"/>
      <c r="G23" s="15">
        <v>0</v>
      </c>
      <c r="H23" s="35"/>
      <c r="I23" s="15">
        <v>0</v>
      </c>
      <c r="J23" s="35"/>
      <c r="K23" s="15">
        <v>0</v>
      </c>
      <c r="L23" s="35"/>
      <c r="M23" s="15">
        <v>0</v>
      </c>
      <c r="N23" s="35"/>
      <c r="O23" s="15">
        <v>0</v>
      </c>
      <c r="P23" s="35"/>
      <c r="Q23" s="15">
        <f>SUM(E23:O23)</f>
        <v>0</v>
      </c>
      <c r="R23" s="35"/>
      <c r="S23" s="15">
        <f t="shared" si="1"/>
        <v>27176584</v>
      </c>
      <c r="U23" s="5">
        <v>27176584</v>
      </c>
      <c r="V23" s="4">
        <f t="shared" si="2"/>
        <v>0</v>
      </c>
      <c r="W23" s="5" t="s">
        <v>125</v>
      </c>
    </row>
    <row r="24" spans="1:24" ht="15">
      <c r="A24" s="11" t="s">
        <v>44</v>
      </c>
      <c r="B24" s="11"/>
      <c r="C24" s="15">
        <v>0</v>
      </c>
      <c r="D24" s="35"/>
      <c r="E24" s="15">
        <v>597912</v>
      </c>
      <c r="F24" s="35"/>
      <c r="G24" s="15">
        <v>225982</v>
      </c>
      <c r="H24" s="35"/>
      <c r="I24" s="15">
        <v>290544</v>
      </c>
      <c r="J24" s="35"/>
      <c r="K24" s="15">
        <v>0</v>
      </c>
      <c r="L24" s="35"/>
      <c r="M24" s="15">
        <v>0</v>
      </c>
      <c r="N24" s="35"/>
      <c r="O24" s="15">
        <v>1728</v>
      </c>
      <c r="P24" s="35"/>
      <c r="Q24" s="15">
        <f>SUM(E24:O24)</f>
        <v>1116166</v>
      </c>
      <c r="R24" s="35"/>
      <c r="S24" s="15">
        <f t="shared" si="1"/>
        <v>-1116166</v>
      </c>
      <c r="U24" s="5">
        <v>-1116165.76</v>
      </c>
      <c r="V24" s="4">
        <f t="shared" si="2"/>
        <v>0.23999999999068677</v>
      </c>
      <c r="W24" s="42" t="s">
        <v>123</v>
      </c>
      <c r="X24" s="42"/>
    </row>
    <row r="25" spans="1:23" ht="15">
      <c r="A25" s="11" t="s">
        <v>45</v>
      </c>
      <c r="B25" s="11"/>
      <c r="C25" s="15">
        <v>996027</v>
      </c>
      <c r="D25" s="35"/>
      <c r="E25" s="15">
        <v>513148</v>
      </c>
      <c r="F25" s="35"/>
      <c r="G25" s="15">
        <v>172278</v>
      </c>
      <c r="H25" s="35"/>
      <c r="I25" s="15">
        <v>2341420</v>
      </c>
      <c r="J25" s="35"/>
      <c r="K25" s="15">
        <v>0</v>
      </c>
      <c r="L25" s="35"/>
      <c r="M25" s="15">
        <v>0</v>
      </c>
      <c r="N25" s="35"/>
      <c r="O25" s="15">
        <v>2029</v>
      </c>
      <c r="P25" s="35"/>
      <c r="Q25" s="15">
        <f>SUM(E25:O25)</f>
        <v>3028875</v>
      </c>
      <c r="R25" s="35"/>
      <c r="S25" s="15">
        <f t="shared" si="1"/>
        <v>-2032848</v>
      </c>
      <c r="U25" s="5">
        <v>-2032847.68</v>
      </c>
      <c r="V25" s="4">
        <f t="shared" si="2"/>
        <v>0.3200000000651926</v>
      </c>
      <c r="W25" s="5" t="s">
        <v>112</v>
      </c>
    </row>
    <row r="26" spans="1:22" ht="15">
      <c r="A26" s="11" t="s">
        <v>46</v>
      </c>
      <c r="B26" s="11"/>
      <c r="C26" s="15">
        <v>22544851</v>
      </c>
      <c r="D26" s="35"/>
      <c r="E26" s="15">
        <v>0</v>
      </c>
      <c r="F26" s="35"/>
      <c r="G26" s="15">
        <v>0</v>
      </c>
      <c r="H26" s="35"/>
      <c r="I26" s="15">
        <v>0</v>
      </c>
      <c r="J26" s="35"/>
      <c r="K26" s="15">
        <v>0</v>
      </c>
      <c r="L26" s="35"/>
      <c r="M26" s="15">
        <v>0</v>
      </c>
      <c r="N26" s="35"/>
      <c r="O26" s="15">
        <v>0</v>
      </c>
      <c r="P26" s="35"/>
      <c r="Q26" s="15">
        <f>SUM(E26:O26)</f>
        <v>0</v>
      </c>
      <c r="R26" s="35"/>
      <c r="S26" s="15">
        <f t="shared" si="1"/>
        <v>22544851</v>
      </c>
      <c r="U26" s="5">
        <v>22544850.9</v>
      </c>
      <c r="V26" s="4">
        <f t="shared" si="2"/>
        <v>-0.10000000149011612</v>
      </c>
    </row>
    <row r="27" spans="1:23" ht="15">
      <c r="A27" s="11" t="s">
        <v>47</v>
      </c>
      <c r="B27" s="11"/>
      <c r="C27" s="15">
        <v>0</v>
      </c>
      <c r="D27" s="13"/>
      <c r="E27" s="15">
        <v>235281</v>
      </c>
      <c r="F27" s="13"/>
      <c r="G27" s="15">
        <v>94933</v>
      </c>
      <c r="H27" s="13"/>
      <c r="I27" s="15">
        <v>103350</v>
      </c>
      <c r="J27" s="13"/>
      <c r="K27" s="15">
        <v>0</v>
      </c>
      <c r="L27" s="13"/>
      <c r="M27" s="15">
        <v>0</v>
      </c>
      <c r="N27" s="13"/>
      <c r="O27" s="15">
        <v>58128</v>
      </c>
      <c r="P27" s="13"/>
      <c r="Q27" s="15">
        <f>SUM(E27:O27)</f>
        <v>491692</v>
      </c>
      <c r="R27" s="13"/>
      <c r="S27" s="15">
        <f t="shared" si="1"/>
        <v>-491692</v>
      </c>
      <c r="U27" s="5">
        <v>-491692.92</v>
      </c>
      <c r="V27" s="4">
        <f t="shared" si="2"/>
        <v>-0.9199999999837019</v>
      </c>
      <c r="W27" s="5" t="s">
        <v>111</v>
      </c>
    </row>
    <row r="28" spans="1:22" ht="15">
      <c r="A28" s="11" t="s">
        <v>48</v>
      </c>
      <c r="B28" s="11"/>
      <c r="C28" s="17">
        <f>SUM(C13:C27)</f>
        <v>80901750</v>
      </c>
      <c r="D28" s="16"/>
      <c r="E28" s="17">
        <f>SUM(E13:E27)</f>
        <v>8319694</v>
      </c>
      <c r="F28" s="16"/>
      <c r="G28" s="17">
        <f>SUM(G13:G27)</f>
        <v>3036020</v>
      </c>
      <c r="H28" s="16"/>
      <c r="I28" s="17">
        <f>SUM(I13:I27)</f>
        <v>32502278</v>
      </c>
      <c r="J28" s="16"/>
      <c r="K28" s="17">
        <f>SUM(K13:K27)</f>
        <v>7890438</v>
      </c>
      <c r="L28" s="16"/>
      <c r="M28" s="17">
        <f>SUM(M13:M27)</f>
        <v>244838</v>
      </c>
      <c r="N28" s="16"/>
      <c r="O28" s="17">
        <f>SUM(O13:O27)</f>
        <v>274349</v>
      </c>
      <c r="P28" s="16"/>
      <c r="Q28" s="17">
        <f>SUM(Q13:Q27)</f>
        <v>52267617</v>
      </c>
      <c r="R28" s="16"/>
      <c r="S28" s="17">
        <f>SUM(S13:S27)</f>
        <v>28634133</v>
      </c>
      <c r="U28" s="5">
        <f>SUM(U13:U27)</f>
        <v>28634132.860000007</v>
      </c>
      <c r="V28" s="4">
        <f t="shared" si="2"/>
        <v>-0.13999999314546585</v>
      </c>
    </row>
    <row r="29" spans="1:19" ht="15">
      <c r="A29" s="11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24" ht="15">
      <c r="A30" s="11" t="s">
        <v>49</v>
      </c>
      <c r="B30" s="11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5"/>
      <c r="R30" s="16"/>
      <c r="S30" s="15"/>
      <c r="W30" s="5" t="s">
        <v>105</v>
      </c>
      <c r="X30" s="5" t="s">
        <v>124</v>
      </c>
    </row>
    <row r="31" spans="1:25" ht="15">
      <c r="A31" s="11" t="s">
        <v>51</v>
      </c>
      <c r="B31" s="11"/>
      <c r="C31" s="18">
        <f>83669414-C61-20007226-X31</f>
        <v>42017497</v>
      </c>
      <c r="D31" s="16"/>
      <c r="E31" s="18">
        <f>9107551-E61</f>
        <v>8791551</v>
      </c>
      <c r="F31" s="16"/>
      <c r="G31" s="18">
        <f>2661340-G61</f>
        <v>2520720</v>
      </c>
      <c r="H31" s="16"/>
      <c r="I31" s="18">
        <f>12384769-I61</f>
        <v>10860368</v>
      </c>
      <c r="J31" s="16"/>
      <c r="K31" s="18">
        <v>0</v>
      </c>
      <c r="L31" s="16"/>
      <c r="M31" s="18">
        <v>4476206</v>
      </c>
      <c r="N31" s="16"/>
      <c r="O31" s="18">
        <v>21602</v>
      </c>
      <c r="P31" s="16"/>
      <c r="Q31" s="15">
        <f aca="true" t="shared" si="3" ref="Q31:Q45">SUM(E31:O31)</f>
        <v>26670447</v>
      </c>
      <c r="R31" s="16"/>
      <c r="S31" s="15">
        <f aca="true" t="shared" si="4" ref="S31:S45">C31-Q31</f>
        <v>15347050</v>
      </c>
      <c r="U31" s="5">
        <f>55017944.92-U61</f>
        <v>55193753.71</v>
      </c>
      <c r="V31" s="4">
        <f aca="true" t="shared" si="5" ref="V31:V46">U31-S31</f>
        <v>39846703.71</v>
      </c>
      <c r="W31" s="5">
        <v>20007225.9</v>
      </c>
      <c r="X31" s="5">
        <v>19839479</v>
      </c>
      <c r="Y31" s="4">
        <f>W31-V31+X31</f>
        <v>1.1899999976158142</v>
      </c>
    </row>
    <row r="32" spans="1:25" ht="15">
      <c r="A32" s="11" t="s">
        <v>53</v>
      </c>
      <c r="B32" s="11"/>
      <c r="C32" s="18">
        <f>8242032-C62-640515-X32</f>
        <v>1807046</v>
      </c>
      <c r="D32" s="16"/>
      <c r="E32" s="18">
        <f>3646171-E62</f>
        <v>3645881</v>
      </c>
      <c r="F32" s="16"/>
      <c r="G32" s="18">
        <f>687379-G62</f>
        <v>687250</v>
      </c>
      <c r="H32" s="16"/>
      <c r="I32" s="18">
        <f>2740319-I62</f>
        <v>2466151</v>
      </c>
      <c r="J32" s="16"/>
      <c r="K32" s="18">
        <v>0</v>
      </c>
      <c r="L32" s="16"/>
      <c r="M32" s="18">
        <v>870244</v>
      </c>
      <c r="N32" s="16"/>
      <c r="O32" s="18">
        <v>4997</v>
      </c>
      <c r="P32" s="16"/>
      <c r="Q32" s="15">
        <f t="shared" si="3"/>
        <v>7674523</v>
      </c>
      <c r="R32" s="16"/>
      <c r="S32" s="15">
        <f t="shared" si="4"/>
        <v>-5867477</v>
      </c>
      <c r="U32" s="5">
        <f>292921.67-U62</f>
        <v>523301.02</v>
      </c>
      <c r="V32" s="4">
        <f t="shared" si="5"/>
        <v>6390778.02</v>
      </c>
      <c r="W32" s="5">
        <v>640515</v>
      </c>
      <c r="X32" s="5">
        <v>5750263</v>
      </c>
      <c r="Y32" s="4">
        <f>W32-V32+X32</f>
        <v>-0.019999999552965164</v>
      </c>
    </row>
    <row r="33" spans="1:25" ht="15">
      <c r="A33" s="11" t="s">
        <v>52</v>
      </c>
      <c r="B33" s="11"/>
      <c r="C33" s="18">
        <f>174081-C63</f>
        <v>127916</v>
      </c>
      <c r="D33" s="16"/>
      <c r="E33" s="18">
        <f>1454177-E63</f>
        <v>1454177</v>
      </c>
      <c r="F33" s="16"/>
      <c r="G33" s="18">
        <f>477321-G63</f>
        <v>477321</v>
      </c>
      <c r="H33" s="16"/>
      <c r="I33" s="18">
        <f>1548480-I63</f>
        <v>1390724</v>
      </c>
      <c r="J33" s="16"/>
      <c r="K33" s="18">
        <v>0</v>
      </c>
      <c r="L33" s="16"/>
      <c r="M33" s="18">
        <v>912517</v>
      </c>
      <c r="N33" s="16"/>
      <c r="O33" s="18">
        <v>3262</v>
      </c>
      <c r="P33" s="16"/>
      <c r="Q33" s="15">
        <f t="shared" si="3"/>
        <v>4238001</v>
      </c>
      <c r="R33" s="16"/>
      <c r="S33" s="15">
        <f t="shared" si="4"/>
        <v>-4110085</v>
      </c>
      <c r="U33" s="5">
        <f>-4221676.69-U63</f>
        <v>-4110086.0200000005</v>
      </c>
      <c r="V33" s="4">
        <f t="shared" si="5"/>
        <v>-1.0200000004842877</v>
      </c>
      <c r="Y33" s="4"/>
    </row>
    <row r="34" spans="1:25" ht="15">
      <c r="A34" s="11" t="s">
        <v>54</v>
      </c>
      <c r="B34" s="11"/>
      <c r="C34" s="18">
        <f>5309005-C64-1867260</f>
        <v>3379944</v>
      </c>
      <c r="D34" s="16"/>
      <c r="E34" s="18">
        <f>1989271-E64</f>
        <v>1986898</v>
      </c>
      <c r="F34" s="16"/>
      <c r="G34" s="18">
        <f>472697-G64</f>
        <v>472534</v>
      </c>
      <c r="H34" s="16"/>
      <c r="I34" s="18">
        <f>1893653-I64-1</f>
        <v>1203299</v>
      </c>
      <c r="J34" s="16"/>
      <c r="K34" s="18">
        <v>0</v>
      </c>
      <c r="L34" s="16"/>
      <c r="M34" s="18">
        <f>600968+1</f>
        <v>600969</v>
      </c>
      <c r="N34" s="16"/>
      <c r="O34" s="18">
        <v>6879</v>
      </c>
      <c r="P34" s="16"/>
      <c r="Q34" s="15">
        <f t="shared" si="3"/>
        <v>4270579</v>
      </c>
      <c r="R34" s="16"/>
      <c r="S34" s="15">
        <f t="shared" si="4"/>
        <v>-890635</v>
      </c>
      <c r="U34" s="5">
        <f>345537.5-U64</f>
        <v>976625.89</v>
      </c>
      <c r="V34" s="4">
        <f t="shared" si="5"/>
        <v>1867260.8900000001</v>
      </c>
      <c r="W34" s="5">
        <v>1867260</v>
      </c>
      <c r="Y34" s="4">
        <f>W34-V34</f>
        <v>-0.8900000001303852</v>
      </c>
    </row>
    <row r="35" spans="1:25" ht="15">
      <c r="A35" s="11" t="s">
        <v>55</v>
      </c>
      <c r="B35" s="11"/>
      <c r="C35" s="18">
        <f>277810-C65-29850</f>
        <v>159174</v>
      </c>
      <c r="D35" s="16"/>
      <c r="E35" s="18">
        <f>753348-E65</f>
        <v>751803</v>
      </c>
      <c r="F35" s="16"/>
      <c r="G35" s="18">
        <f>292369-G65</f>
        <v>292277</v>
      </c>
      <c r="H35" s="16"/>
      <c r="I35" s="18">
        <f>1086554-I65</f>
        <v>832408</v>
      </c>
      <c r="J35" s="16"/>
      <c r="K35" s="18">
        <v>0</v>
      </c>
      <c r="L35" s="16"/>
      <c r="M35" s="18">
        <v>696094</v>
      </c>
      <c r="N35" s="16"/>
      <c r="O35" s="18">
        <v>8818</v>
      </c>
      <c r="P35" s="16"/>
      <c r="Q35" s="15">
        <f t="shared" si="3"/>
        <v>2581400</v>
      </c>
      <c r="R35" s="16"/>
      <c r="S35" s="15">
        <f t="shared" si="4"/>
        <v>-2422226</v>
      </c>
      <c r="U35" s="5">
        <f>-2559373.34-U65</f>
        <v>-2392376.57</v>
      </c>
      <c r="V35" s="4">
        <f t="shared" si="5"/>
        <v>29849.430000000168</v>
      </c>
      <c r="W35" s="5">
        <v>29850</v>
      </c>
      <c r="Y35" s="4">
        <f>W35-V35</f>
        <v>0.5699999998323619</v>
      </c>
    </row>
    <row r="36" spans="1:22" ht="15">
      <c r="A36" s="11" t="s">
        <v>56</v>
      </c>
      <c r="B36" s="11"/>
      <c r="C36" s="18">
        <f>20000-C66</f>
        <v>0</v>
      </c>
      <c r="D36" s="16"/>
      <c r="E36" s="18">
        <f>365844-E66</f>
        <v>365844</v>
      </c>
      <c r="F36" s="16"/>
      <c r="G36" s="18">
        <f>149451-G66</f>
        <v>149451</v>
      </c>
      <c r="H36" s="16"/>
      <c r="I36" s="18">
        <f>245522-I66</f>
        <v>207387</v>
      </c>
      <c r="J36" s="16"/>
      <c r="K36" s="18">
        <v>0</v>
      </c>
      <c r="L36" s="16"/>
      <c r="M36" s="18">
        <v>150537</v>
      </c>
      <c r="N36" s="16"/>
      <c r="O36" s="18">
        <v>982</v>
      </c>
      <c r="P36" s="16"/>
      <c r="Q36" s="15">
        <f t="shared" si="3"/>
        <v>874201</v>
      </c>
      <c r="R36" s="16"/>
      <c r="S36" s="15">
        <f t="shared" si="4"/>
        <v>-874201</v>
      </c>
      <c r="U36" s="5">
        <f>-892335.93-U66</f>
        <v>-874201.25</v>
      </c>
      <c r="V36" s="4">
        <f t="shared" si="5"/>
        <v>-0.25</v>
      </c>
    </row>
    <row r="37" spans="1:22" ht="15">
      <c r="A37" s="11" t="s">
        <v>57</v>
      </c>
      <c r="B37" s="11"/>
      <c r="C37" s="18">
        <v>0</v>
      </c>
      <c r="D37" s="16"/>
      <c r="E37" s="18">
        <f>210438-E67</f>
        <v>210438</v>
      </c>
      <c r="F37" s="16"/>
      <c r="G37" s="18">
        <f>89195-G67</f>
        <v>89195</v>
      </c>
      <c r="H37" s="16"/>
      <c r="I37" s="18">
        <f>185589-I67</f>
        <v>170014</v>
      </c>
      <c r="J37" s="16"/>
      <c r="K37" s="18">
        <v>0</v>
      </c>
      <c r="L37" s="16"/>
      <c r="M37" s="18">
        <v>250749</v>
      </c>
      <c r="N37" s="16"/>
      <c r="O37" s="18">
        <v>0</v>
      </c>
      <c r="P37" s="16"/>
      <c r="Q37" s="15">
        <f t="shared" si="3"/>
        <v>720396</v>
      </c>
      <c r="R37" s="16"/>
      <c r="S37" s="15">
        <f t="shared" si="4"/>
        <v>-720396</v>
      </c>
      <c r="U37" s="5">
        <f>-735970.95-U67</f>
        <v>-720395.6599999999</v>
      </c>
      <c r="V37" s="4">
        <f t="shared" si="5"/>
        <v>0.34000000008381903</v>
      </c>
    </row>
    <row r="38" spans="1:22" ht="15">
      <c r="A38" s="11" t="s">
        <v>58</v>
      </c>
      <c r="B38" s="11"/>
      <c r="C38" s="18">
        <f>298147-C68</f>
        <v>286291</v>
      </c>
      <c r="D38" s="16"/>
      <c r="E38" s="18">
        <f>753062-E68</f>
        <v>753062</v>
      </c>
      <c r="F38" s="16"/>
      <c r="G38" s="18">
        <f>319188-G68</f>
        <v>319188</v>
      </c>
      <c r="H38" s="16"/>
      <c r="I38" s="18">
        <f>837402-I68</f>
        <v>601514</v>
      </c>
      <c r="J38" s="16"/>
      <c r="K38" s="18">
        <v>0</v>
      </c>
      <c r="L38" s="16"/>
      <c r="M38" s="18">
        <f>783120+1</f>
        <v>783121</v>
      </c>
      <c r="N38" s="16"/>
      <c r="O38" s="18">
        <v>10311</v>
      </c>
      <c r="P38" s="16"/>
      <c r="Q38" s="15">
        <f t="shared" si="3"/>
        <v>2467196</v>
      </c>
      <c r="R38" s="16"/>
      <c r="S38" s="15">
        <f t="shared" si="4"/>
        <v>-2180905</v>
      </c>
      <c r="U38" s="5">
        <f>-2404936.5-U68</f>
        <v>-2180904.07</v>
      </c>
      <c r="V38" s="4">
        <f t="shared" si="5"/>
        <v>0.9300000001676381</v>
      </c>
    </row>
    <row r="39" spans="1:22" ht="15">
      <c r="A39" s="11" t="s">
        <v>59</v>
      </c>
      <c r="B39" s="11"/>
      <c r="C39" s="18">
        <v>0</v>
      </c>
      <c r="D39" s="16"/>
      <c r="E39" s="18">
        <v>301242</v>
      </c>
      <c r="F39" s="16"/>
      <c r="G39" s="18">
        <v>131867</v>
      </c>
      <c r="H39" s="16"/>
      <c r="I39" s="18">
        <v>489285</v>
      </c>
      <c r="J39" s="16"/>
      <c r="K39" s="18">
        <v>0</v>
      </c>
      <c r="L39" s="16"/>
      <c r="M39" s="18">
        <v>745625</v>
      </c>
      <c r="N39" s="16"/>
      <c r="O39" s="18">
        <v>1604</v>
      </c>
      <c r="P39" s="16"/>
      <c r="Q39" s="15">
        <f t="shared" si="3"/>
        <v>1669623</v>
      </c>
      <c r="R39" s="16"/>
      <c r="S39" s="15">
        <f t="shared" si="4"/>
        <v>-1669623</v>
      </c>
      <c r="U39" s="5">
        <v>-1669623.18</v>
      </c>
      <c r="V39" s="4">
        <f t="shared" si="5"/>
        <v>-0.17999999993480742</v>
      </c>
    </row>
    <row r="40" spans="1:22" ht="15">
      <c r="A40" s="11" t="s">
        <v>60</v>
      </c>
      <c r="B40" s="11"/>
      <c r="C40" s="18">
        <f>3840-C69</f>
        <v>0</v>
      </c>
      <c r="D40" s="16"/>
      <c r="E40" s="18">
        <f>415142-E69</f>
        <v>415142</v>
      </c>
      <c r="F40" s="16"/>
      <c r="G40" s="18">
        <f>180663-G69</f>
        <v>180663</v>
      </c>
      <c r="H40" s="16"/>
      <c r="I40" s="18">
        <f>759832-I69+1</f>
        <v>642509</v>
      </c>
      <c r="J40" s="16"/>
      <c r="K40" s="18">
        <v>0</v>
      </c>
      <c r="L40" s="16"/>
      <c r="M40" s="18">
        <v>1414683</v>
      </c>
      <c r="N40" s="16"/>
      <c r="O40" s="18">
        <v>5222</v>
      </c>
      <c r="P40" s="16"/>
      <c r="Q40" s="15">
        <f t="shared" si="3"/>
        <v>2658219</v>
      </c>
      <c r="R40" s="12"/>
      <c r="S40" s="15">
        <f t="shared" si="4"/>
        <v>-2658219</v>
      </c>
      <c r="U40" s="5">
        <f>-2771702.59-U69</f>
        <v>-2658218.9499999997</v>
      </c>
      <c r="V40" s="4">
        <f t="shared" si="5"/>
        <v>0.05000000027939677</v>
      </c>
    </row>
    <row r="41" spans="1:22" ht="15">
      <c r="A41" s="11" t="s">
        <v>61</v>
      </c>
      <c r="B41" s="11"/>
      <c r="C41" s="18">
        <f>8500-C70</f>
        <v>8500</v>
      </c>
      <c r="D41" s="16"/>
      <c r="E41" s="18">
        <f>344544-E70-1</f>
        <v>344543</v>
      </c>
      <c r="F41" s="16"/>
      <c r="G41" s="18">
        <f>138199-G70</f>
        <v>138199</v>
      </c>
      <c r="H41" s="16"/>
      <c r="I41" s="18">
        <f>334451-I70</f>
        <v>327444</v>
      </c>
      <c r="J41" s="16"/>
      <c r="K41" s="18">
        <v>0</v>
      </c>
      <c r="L41" s="16"/>
      <c r="M41" s="18">
        <v>292276</v>
      </c>
      <c r="N41" s="16"/>
      <c r="O41" s="18">
        <v>3368</v>
      </c>
      <c r="P41" s="16"/>
      <c r="Q41" s="15">
        <f t="shared" si="3"/>
        <v>1105830</v>
      </c>
      <c r="R41" s="35"/>
      <c r="S41" s="15">
        <f t="shared" si="4"/>
        <v>-1097330</v>
      </c>
      <c r="U41" s="5">
        <f>-1104337.32-U70</f>
        <v>-1097330.27</v>
      </c>
      <c r="V41" s="4">
        <f t="shared" si="5"/>
        <v>-0.27000000001862645</v>
      </c>
    </row>
    <row r="42" spans="1:22" ht="15">
      <c r="A42" s="11" t="s">
        <v>62</v>
      </c>
      <c r="B42" s="11"/>
      <c r="C42" s="18">
        <f>2716-C71</f>
        <v>150</v>
      </c>
      <c r="D42" s="16"/>
      <c r="E42" s="18">
        <f>282741-E71</f>
        <v>282741</v>
      </c>
      <c r="F42" s="16"/>
      <c r="G42" s="18">
        <f>115807-G71</f>
        <v>115807</v>
      </c>
      <c r="H42" s="16"/>
      <c r="I42" s="18">
        <f>374330-I71</f>
        <v>312412</v>
      </c>
      <c r="J42" s="16"/>
      <c r="K42" s="18">
        <v>0</v>
      </c>
      <c r="L42" s="16"/>
      <c r="M42" s="18">
        <f>375036+1</f>
        <v>375037</v>
      </c>
      <c r="N42" s="16"/>
      <c r="O42" s="18">
        <v>4362</v>
      </c>
      <c r="P42" s="16"/>
      <c r="Q42" s="15">
        <f t="shared" si="3"/>
        <v>1090359</v>
      </c>
      <c r="R42" s="12"/>
      <c r="S42" s="15">
        <f t="shared" si="4"/>
        <v>-1090209</v>
      </c>
      <c r="U42" s="5">
        <f>-1149559.86-U71</f>
        <v>-1090208.2300000002</v>
      </c>
      <c r="V42" s="4">
        <f t="shared" si="5"/>
        <v>0.7699999997857958</v>
      </c>
    </row>
    <row r="43" spans="1:22" ht="15">
      <c r="A43" s="11" t="s">
        <v>63</v>
      </c>
      <c r="B43" s="11"/>
      <c r="C43" s="18">
        <f>48988-C72</f>
        <v>13487</v>
      </c>
      <c r="D43" s="16"/>
      <c r="E43" s="18">
        <f>886675-E72+1</f>
        <v>886676</v>
      </c>
      <c r="F43" s="16"/>
      <c r="G43" s="18">
        <f>350228-G72</f>
        <v>350228</v>
      </c>
      <c r="H43" s="16"/>
      <c r="I43" s="18">
        <f>2204851-I72</f>
        <v>1660102</v>
      </c>
      <c r="J43" s="16"/>
      <c r="K43" s="18">
        <v>0</v>
      </c>
      <c r="L43" s="16"/>
      <c r="M43" s="18">
        <v>1740696</v>
      </c>
      <c r="N43" s="16"/>
      <c r="O43" s="18">
        <v>90696</v>
      </c>
      <c r="P43" s="16"/>
      <c r="Q43" s="15">
        <f t="shared" si="3"/>
        <v>4728398</v>
      </c>
      <c r="R43" s="12"/>
      <c r="S43" s="15">
        <f t="shared" si="4"/>
        <v>-4714911</v>
      </c>
      <c r="U43" s="5">
        <f>-5224159.42-U72</f>
        <v>-4714911.75</v>
      </c>
      <c r="V43" s="4">
        <f t="shared" si="5"/>
        <v>-0.75</v>
      </c>
    </row>
    <row r="44" spans="1:22" ht="15">
      <c r="A44" s="11" t="s">
        <v>104</v>
      </c>
      <c r="B44" s="11"/>
      <c r="C44" s="18">
        <f>8925-C73</f>
        <v>0</v>
      </c>
      <c r="D44" s="16"/>
      <c r="E44" s="18">
        <f>164693-E73</f>
        <v>164693</v>
      </c>
      <c r="F44" s="16"/>
      <c r="G44" s="18">
        <f>70255-G73</f>
        <v>70255</v>
      </c>
      <c r="H44" s="16"/>
      <c r="I44" s="18">
        <f>419281-I73</f>
        <v>359776</v>
      </c>
      <c r="J44" s="16"/>
      <c r="K44" s="18">
        <v>0</v>
      </c>
      <c r="L44" s="16"/>
      <c r="M44" s="18">
        <v>265008</v>
      </c>
      <c r="N44" s="16"/>
      <c r="O44" s="18">
        <v>1583</v>
      </c>
      <c r="P44" s="16"/>
      <c r="Q44" s="15">
        <f t="shared" si="3"/>
        <v>861315</v>
      </c>
      <c r="R44" s="12"/>
      <c r="S44" s="15">
        <f t="shared" si="4"/>
        <v>-861315</v>
      </c>
      <c r="U44" s="5">
        <f>-911894.94-U73</f>
        <v>-861315.0599999999</v>
      </c>
      <c r="V44" s="4">
        <f t="shared" si="5"/>
        <v>-0.05999999993946403</v>
      </c>
    </row>
    <row r="45" spans="1:22" ht="15">
      <c r="A45" s="11" t="s">
        <v>64</v>
      </c>
      <c r="B45" s="11"/>
      <c r="C45" s="18">
        <f>12100-C74</f>
        <v>0</v>
      </c>
      <c r="D45" s="16"/>
      <c r="E45" s="18">
        <f>335969-E74-1</f>
        <v>335968</v>
      </c>
      <c r="F45" s="16"/>
      <c r="G45" s="18">
        <f>148194-G74</f>
        <v>148194</v>
      </c>
      <c r="H45" s="16"/>
      <c r="I45" s="18">
        <f>413832-I74</f>
        <v>374238</v>
      </c>
      <c r="J45" s="16"/>
      <c r="K45" s="18">
        <v>0</v>
      </c>
      <c r="L45" s="16"/>
      <c r="M45" s="18">
        <v>714779</v>
      </c>
      <c r="N45" s="16"/>
      <c r="O45" s="18">
        <v>0</v>
      </c>
      <c r="P45" s="16"/>
      <c r="Q45" s="15">
        <f t="shared" si="3"/>
        <v>1573179</v>
      </c>
      <c r="R45" s="12"/>
      <c r="S45" s="15">
        <f t="shared" si="4"/>
        <v>-1573179</v>
      </c>
      <c r="U45" s="5">
        <f>-1600672.72-U74</f>
        <v>-1573178.69</v>
      </c>
      <c r="V45" s="4">
        <f t="shared" si="5"/>
        <v>0.31000000005587935</v>
      </c>
    </row>
    <row r="46" spans="1:25" ht="15">
      <c r="A46" s="11" t="s">
        <v>65</v>
      </c>
      <c r="B46" s="11"/>
      <c r="C46" s="17">
        <f>SUM(C30:C45)</f>
        <v>47800005</v>
      </c>
      <c r="D46" s="16"/>
      <c r="E46" s="17">
        <f>SUM(E30:E45)</f>
        <v>20690659</v>
      </c>
      <c r="F46" s="16"/>
      <c r="G46" s="17">
        <f>SUM(G30:G45)</f>
        <v>6143149</v>
      </c>
      <c r="H46" s="16"/>
      <c r="I46" s="17">
        <f>SUM(I30:I45)</f>
        <v>21897631</v>
      </c>
      <c r="J46" s="16"/>
      <c r="K46" s="17">
        <f>SUM(K30:K45)</f>
        <v>0</v>
      </c>
      <c r="L46" s="16"/>
      <c r="M46" s="17">
        <f>SUM(M30:M45)</f>
        <v>14288541</v>
      </c>
      <c r="N46" s="16"/>
      <c r="O46" s="17">
        <f>SUM(O30:O45)</f>
        <v>163686</v>
      </c>
      <c r="P46" s="16"/>
      <c r="Q46" s="17">
        <f>SUM(Q30:Q45)</f>
        <v>63183666</v>
      </c>
      <c r="R46" s="12"/>
      <c r="S46" s="17">
        <f>SUM(S30:S45)</f>
        <v>-15383661</v>
      </c>
      <c r="U46" s="5">
        <f>SUM(U31:U45)</f>
        <v>32750930.919999998</v>
      </c>
      <c r="V46" s="4">
        <f t="shared" si="5"/>
        <v>48134591.92</v>
      </c>
      <c r="W46" s="5">
        <f>SUM(W31:W45)</f>
        <v>22544850.9</v>
      </c>
      <c r="X46" s="5">
        <f>SUM(X31:X45)</f>
        <v>25589742</v>
      </c>
      <c r="Y46" s="4">
        <f>W46-V46</f>
        <v>-25589741.020000003</v>
      </c>
    </row>
    <row r="47" spans="1:19" ht="15">
      <c r="A47" s="11"/>
      <c r="B47" s="11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5"/>
      <c r="R47" s="12"/>
      <c r="S47" s="15"/>
    </row>
    <row r="48" spans="1:19" ht="15">
      <c r="A48" s="11" t="s">
        <v>66</v>
      </c>
      <c r="B48" s="11"/>
      <c r="C48" s="18"/>
      <c r="D48" s="16"/>
      <c r="E48" s="18"/>
      <c r="F48" s="16"/>
      <c r="G48" s="18"/>
      <c r="H48" s="16"/>
      <c r="I48" s="18"/>
      <c r="J48" s="16"/>
      <c r="K48" s="18"/>
      <c r="L48" s="16"/>
      <c r="M48" s="18"/>
      <c r="N48" s="16"/>
      <c r="O48" s="18"/>
      <c r="P48" s="16"/>
      <c r="Q48" s="15"/>
      <c r="R48" s="12"/>
      <c r="S48" s="15"/>
    </row>
    <row r="49" spans="1:22" ht="15">
      <c r="A49" s="11" t="s">
        <v>67</v>
      </c>
      <c r="B49" s="11"/>
      <c r="C49" s="18">
        <v>0</v>
      </c>
      <c r="D49" s="16"/>
      <c r="E49" s="18">
        <v>297190</v>
      </c>
      <c r="F49" s="16"/>
      <c r="G49" s="18">
        <v>94932</v>
      </c>
      <c r="H49" s="16"/>
      <c r="I49" s="18">
        <v>830227</v>
      </c>
      <c r="J49" s="16"/>
      <c r="K49" s="18">
        <v>0</v>
      </c>
      <c r="L49" s="16"/>
      <c r="M49" s="18">
        <v>328167</v>
      </c>
      <c r="N49" s="16"/>
      <c r="O49" s="18">
        <v>10621</v>
      </c>
      <c r="P49" s="16"/>
      <c r="Q49" s="15">
        <f aca="true" t="shared" si="6" ref="Q49:Q54">SUM(E49:O49)</f>
        <v>1561137</v>
      </c>
      <c r="R49" s="12"/>
      <c r="S49" s="15">
        <f aca="true" t="shared" si="7" ref="S49:S54">C49-Q49</f>
        <v>-1561137</v>
      </c>
      <c r="U49" s="5">
        <v>-1561136.53</v>
      </c>
      <c r="V49" s="4">
        <f aca="true" t="shared" si="8" ref="V49:V55">U49-S49</f>
        <v>0.4699999999720603</v>
      </c>
    </row>
    <row r="50" spans="1:22" ht="15">
      <c r="A50" s="11" t="s">
        <v>68</v>
      </c>
      <c r="B50" s="11"/>
      <c r="C50" s="18">
        <v>157495</v>
      </c>
      <c r="D50" s="16"/>
      <c r="E50" s="18">
        <v>106817</v>
      </c>
      <c r="F50" s="16"/>
      <c r="G50" s="18">
        <v>27009</v>
      </c>
      <c r="H50" s="16"/>
      <c r="I50" s="18">
        <v>208744</v>
      </c>
      <c r="J50" s="16"/>
      <c r="K50" s="18">
        <v>0</v>
      </c>
      <c r="L50" s="16"/>
      <c r="M50" s="18">
        <v>61301</v>
      </c>
      <c r="N50" s="16"/>
      <c r="O50" s="18">
        <v>0</v>
      </c>
      <c r="P50" s="16"/>
      <c r="Q50" s="15">
        <f t="shared" si="6"/>
        <v>403871</v>
      </c>
      <c r="R50" s="12"/>
      <c r="S50" s="15">
        <f t="shared" si="7"/>
        <v>-246376</v>
      </c>
      <c r="U50" s="5">
        <v>-246376.59</v>
      </c>
      <c r="V50" s="4">
        <f t="shared" si="8"/>
        <v>-0.5899999999965075</v>
      </c>
    </row>
    <row r="51" spans="1:24" ht="15">
      <c r="A51" s="11" t="s">
        <v>127</v>
      </c>
      <c r="B51" s="11"/>
      <c r="C51" s="15">
        <v>0</v>
      </c>
      <c r="D51" s="35"/>
      <c r="E51" s="15">
        <v>188611</v>
      </c>
      <c r="F51" s="35"/>
      <c r="G51" s="15">
        <v>80929</v>
      </c>
      <c r="H51" s="35"/>
      <c r="I51" s="15">
        <v>951143</v>
      </c>
      <c r="J51" s="35"/>
      <c r="K51" s="15">
        <v>0</v>
      </c>
      <c r="L51" s="35"/>
      <c r="M51" s="15">
        <v>0</v>
      </c>
      <c r="N51" s="35"/>
      <c r="O51" s="15">
        <v>0</v>
      </c>
      <c r="P51" s="35"/>
      <c r="Q51" s="15">
        <f t="shared" si="6"/>
        <v>1220683</v>
      </c>
      <c r="R51" s="35"/>
      <c r="S51" s="15">
        <f t="shared" si="7"/>
        <v>-1220683</v>
      </c>
      <c r="U51" s="5">
        <v>-1220683.36</v>
      </c>
      <c r="V51" s="4">
        <f>U51-S51</f>
        <v>-0.3600000001024455</v>
      </c>
      <c r="W51" s="42" t="s">
        <v>113</v>
      </c>
      <c r="X51" s="42"/>
    </row>
    <row r="52" spans="1:22" ht="15">
      <c r="A52" s="11" t="s">
        <v>69</v>
      </c>
      <c r="B52" s="11"/>
      <c r="C52" s="18">
        <v>0</v>
      </c>
      <c r="D52" s="16"/>
      <c r="E52" s="18">
        <v>297852</v>
      </c>
      <c r="F52" s="16"/>
      <c r="G52" s="18">
        <v>116563</v>
      </c>
      <c r="H52" s="16"/>
      <c r="I52" s="18">
        <v>178692</v>
      </c>
      <c r="J52" s="16"/>
      <c r="K52" s="18">
        <v>0</v>
      </c>
      <c r="L52" s="16"/>
      <c r="M52" s="18">
        <v>0</v>
      </c>
      <c r="N52" s="16"/>
      <c r="O52" s="18">
        <v>27345</v>
      </c>
      <c r="P52" s="16"/>
      <c r="Q52" s="15">
        <f t="shared" si="6"/>
        <v>620452</v>
      </c>
      <c r="R52" s="12"/>
      <c r="S52" s="15">
        <f t="shared" si="7"/>
        <v>-620452</v>
      </c>
      <c r="U52" s="5">
        <v>-620451.75</v>
      </c>
      <c r="V52" s="4">
        <f t="shared" si="8"/>
        <v>0.25</v>
      </c>
    </row>
    <row r="53" spans="1:22" ht="15">
      <c r="A53" s="11" t="s">
        <v>70</v>
      </c>
      <c r="B53" s="11"/>
      <c r="C53" s="18">
        <v>0</v>
      </c>
      <c r="D53" s="16"/>
      <c r="E53" s="18">
        <v>1105848</v>
      </c>
      <c r="F53" s="16"/>
      <c r="G53" s="18">
        <v>492353</v>
      </c>
      <c r="H53" s="16"/>
      <c r="I53" s="18">
        <v>859760</v>
      </c>
      <c r="J53" s="16"/>
      <c r="K53" s="18">
        <v>0</v>
      </c>
      <c r="L53" s="16"/>
      <c r="M53" s="18">
        <v>257955</v>
      </c>
      <c r="N53" s="16"/>
      <c r="O53" s="18">
        <v>86908</v>
      </c>
      <c r="P53" s="16"/>
      <c r="Q53" s="15">
        <f t="shared" si="6"/>
        <v>2802824</v>
      </c>
      <c r="R53" s="12"/>
      <c r="S53" s="15">
        <f t="shared" si="7"/>
        <v>-2802824</v>
      </c>
      <c r="U53" s="5">
        <v>-2802823.91</v>
      </c>
      <c r="V53" s="4">
        <f t="shared" si="8"/>
        <v>0.08999999985098839</v>
      </c>
    </row>
    <row r="54" spans="1:22" ht="15">
      <c r="A54" s="11" t="s">
        <v>71</v>
      </c>
      <c r="B54" s="11"/>
      <c r="C54" s="18">
        <v>0</v>
      </c>
      <c r="D54" s="16"/>
      <c r="E54" s="18">
        <v>1043441</v>
      </c>
      <c r="F54" s="16"/>
      <c r="G54" s="18">
        <v>475437</v>
      </c>
      <c r="H54" s="16"/>
      <c r="I54" s="18">
        <v>247624</v>
      </c>
      <c r="J54" s="16"/>
      <c r="K54" s="18">
        <v>0</v>
      </c>
      <c r="L54" s="16"/>
      <c r="M54" s="18">
        <v>8197</v>
      </c>
      <c r="N54" s="16"/>
      <c r="O54" s="18">
        <v>7164</v>
      </c>
      <c r="P54" s="16"/>
      <c r="Q54" s="15">
        <f t="shared" si="6"/>
        <v>1781863</v>
      </c>
      <c r="R54" s="35"/>
      <c r="S54" s="15">
        <f t="shared" si="7"/>
        <v>-1781863</v>
      </c>
      <c r="U54" s="5">
        <v>-1781862.71</v>
      </c>
      <c r="V54" s="4">
        <f t="shared" si="8"/>
        <v>0.2900000000372529</v>
      </c>
    </row>
    <row r="55" spans="1:22" ht="15">
      <c r="A55" s="11" t="s">
        <v>72</v>
      </c>
      <c r="B55" s="11"/>
      <c r="C55" s="17">
        <f>SUM(C49:C54)</f>
        <v>157495</v>
      </c>
      <c r="D55" s="16"/>
      <c r="E55" s="17">
        <f>SUM(E49:E54)</f>
        <v>3039759</v>
      </c>
      <c r="F55" s="16"/>
      <c r="G55" s="17">
        <f>SUM(G49:G54)</f>
        <v>1287223</v>
      </c>
      <c r="H55" s="16"/>
      <c r="I55" s="17">
        <f>SUM(I49:I54)</f>
        <v>3276190</v>
      </c>
      <c r="J55" s="16"/>
      <c r="K55" s="17">
        <f>SUM(K49:K54)</f>
        <v>0</v>
      </c>
      <c r="L55" s="16"/>
      <c r="M55" s="17">
        <f>SUM(M49:M54)</f>
        <v>655620</v>
      </c>
      <c r="N55" s="16"/>
      <c r="O55" s="17">
        <f>SUM(O49:O54)</f>
        <v>132038</v>
      </c>
      <c r="P55" s="16"/>
      <c r="Q55" s="17">
        <f>SUM(Q48:Q54)</f>
        <v>8390830</v>
      </c>
      <c r="R55" s="35"/>
      <c r="S55" s="17">
        <f>SUM(S48:S54)</f>
        <v>-8233335</v>
      </c>
      <c r="U55" s="5">
        <f>SUM(U49:U54)</f>
        <v>-8233334.850000001</v>
      </c>
      <c r="V55" s="4">
        <f t="shared" si="8"/>
        <v>0.14999999944120646</v>
      </c>
    </row>
    <row r="56" spans="1:19" ht="15">
      <c r="A56" s="11"/>
      <c r="B56" s="11"/>
      <c r="C56" s="18"/>
      <c r="D56" s="16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5"/>
      <c r="R56" s="35"/>
      <c r="S56" s="15"/>
    </row>
    <row r="57" spans="1:19" ht="15.75" thickBot="1">
      <c r="A57" s="36" t="s">
        <v>73</v>
      </c>
      <c r="B57" s="11"/>
      <c r="C57" s="37">
        <f>C55+C46+C28</f>
        <v>128859250</v>
      </c>
      <c r="D57" s="16"/>
      <c r="E57" s="37">
        <f>E55+E46+E28</f>
        <v>32050112</v>
      </c>
      <c r="F57" s="16"/>
      <c r="G57" s="37">
        <f>G55+G46+G28</f>
        <v>10466392</v>
      </c>
      <c r="H57" s="16"/>
      <c r="I57" s="37">
        <f>I55+I46+I28</f>
        <v>57676099</v>
      </c>
      <c r="J57" s="16"/>
      <c r="K57" s="37">
        <f>K55+K46+K28</f>
        <v>7890438</v>
      </c>
      <c r="L57" s="16"/>
      <c r="M57" s="37">
        <f>M55+M46+M28</f>
        <v>15188999</v>
      </c>
      <c r="N57" s="16"/>
      <c r="O57" s="37">
        <f>O55+O46+O28</f>
        <v>570073</v>
      </c>
      <c r="P57" s="16"/>
      <c r="Q57" s="37">
        <f>Q55+Q46+Q28</f>
        <v>123842113</v>
      </c>
      <c r="R57" s="35"/>
      <c r="S57" s="37">
        <f>S55+S46+S28</f>
        <v>5017137</v>
      </c>
    </row>
    <row r="58" spans="1:19" ht="15.75" thickTop="1">
      <c r="A58" s="11"/>
      <c r="B58" s="11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5"/>
      <c r="R58" s="35"/>
      <c r="S58" s="15"/>
    </row>
    <row r="59" spans="1:19" ht="15">
      <c r="A59" s="11" t="s">
        <v>74</v>
      </c>
      <c r="B59" s="11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15"/>
      <c r="R59" s="35"/>
      <c r="S59" s="15"/>
    </row>
    <row r="60" spans="1:19" ht="15">
      <c r="A60" s="11" t="s">
        <v>79</v>
      </c>
      <c r="B60" s="11"/>
      <c r="C60" s="18"/>
      <c r="D60" s="16"/>
      <c r="E60" s="18"/>
      <c r="F60" s="16"/>
      <c r="G60" s="18"/>
      <c r="H60" s="16"/>
      <c r="I60" s="18"/>
      <c r="J60" s="16"/>
      <c r="K60" s="18"/>
      <c r="L60" s="16"/>
      <c r="M60" s="18"/>
      <c r="N60" s="16"/>
      <c r="O60" s="18"/>
      <c r="P60" s="16"/>
      <c r="Q60" s="18"/>
      <c r="R60" s="35"/>
      <c r="S60" s="15"/>
    </row>
    <row r="61" spans="1:22" ht="15">
      <c r="A61" s="11" t="s">
        <v>80</v>
      </c>
      <c r="B61" s="11"/>
      <c r="C61" s="18">
        <v>1805212</v>
      </c>
      <c r="D61" s="16"/>
      <c r="E61" s="18">
        <v>316000</v>
      </c>
      <c r="F61" s="16"/>
      <c r="G61" s="18">
        <v>140620</v>
      </c>
      <c r="H61" s="16"/>
      <c r="I61" s="18">
        <v>1524401</v>
      </c>
      <c r="J61" s="16"/>
      <c r="K61" s="18">
        <v>0</v>
      </c>
      <c r="L61" s="16"/>
      <c r="M61" s="18">
        <v>0</v>
      </c>
      <c r="N61" s="16"/>
      <c r="O61" s="18">
        <v>0</v>
      </c>
      <c r="P61" s="16"/>
      <c r="Q61" s="15">
        <f aca="true" t="shared" si="9" ref="Q61:Q74">SUM(E61:O61)</f>
        <v>1981021</v>
      </c>
      <c r="R61" s="35"/>
      <c r="S61" s="15">
        <f aca="true" t="shared" si="10" ref="S61:S74">C61-Q61</f>
        <v>-175809</v>
      </c>
      <c r="U61" s="5">
        <v>-175808.79</v>
      </c>
      <c r="V61" s="4">
        <f>U61-S61</f>
        <v>0.20999999999185093</v>
      </c>
    </row>
    <row r="62" spans="1:22" ht="15">
      <c r="A62" s="11" t="s">
        <v>81</v>
      </c>
      <c r="B62" s="11"/>
      <c r="C62" s="18">
        <v>44208</v>
      </c>
      <c r="D62" s="16"/>
      <c r="E62" s="18">
        <v>290</v>
      </c>
      <c r="F62" s="16"/>
      <c r="G62" s="18">
        <v>129</v>
      </c>
      <c r="H62" s="16"/>
      <c r="I62" s="18">
        <v>274168</v>
      </c>
      <c r="J62" s="16"/>
      <c r="K62" s="18">
        <v>0</v>
      </c>
      <c r="L62" s="16"/>
      <c r="M62" s="18">
        <v>0</v>
      </c>
      <c r="N62" s="16"/>
      <c r="O62" s="18">
        <v>0</v>
      </c>
      <c r="P62" s="16"/>
      <c r="Q62" s="15">
        <f t="shared" si="9"/>
        <v>274587</v>
      </c>
      <c r="R62" s="35"/>
      <c r="S62" s="15">
        <f t="shared" si="10"/>
        <v>-230379</v>
      </c>
      <c r="U62" s="5">
        <v>-230379.35</v>
      </c>
      <c r="V62" s="4">
        <f aca="true" t="shared" si="11" ref="V62:V75">U62-S62</f>
        <v>-0.35000000000582077</v>
      </c>
    </row>
    <row r="63" spans="1:22" ht="15">
      <c r="A63" s="11" t="s">
        <v>75</v>
      </c>
      <c r="B63" s="11"/>
      <c r="C63" s="18">
        <v>46165</v>
      </c>
      <c r="D63" s="16"/>
      <c r="E63" s="18">
        <v>0</v>
      </c>
      <c r="F63" s="16"/>
      <c r="G63" s="18">
        <v>0</v>
      </c>
      <c r="H63" s="16"/>
      <c r="I63" s="18">
        <v>157756</v>
      </c>
      <c r="J63" s="16"/>
      <c r="K63" s="18">
        <v>0</v>
      </c>
      <c r="L63" s="16"/>
      <c r="M63" s="18">
        <v>0</v>
      </c>
      <c r="N63" s="16"/>
      <c r="O63" s="18">
        <v>0</v>
      </c>
      <c r="P63" s="16"/>
      <c r="Q63" s="15">
        <f t="shared" si="9"/>
        <v>157756</v>
      </c>
      <c r="R63" s="35"/>
      <c r="S63" s="15">
        <f t="shared" si="10"/>
        <v>-111591</v>
      </c>
      <c r="U63" s="5">
        <v>-111590.67</v>
      </c>
      <c r="V63" s="4">
        <f t="shared" si="11"/>
        <v>0.33000000000174623</v>
      </c>
    </row>
    <row r="64" spans="1:22" ht="15">
      <c r="A64" s="11" t="s">
        <v>76</v>
      </c>
      <c r="B64" s="11"/>
      <c r="C64" s="18">
        <v>61801</v>
      </c>
      <c r="D64" s="16"/>
      <c r="E64" s="18">
        <v>2373</v>
      </c>
      <c r="F64" s="16"/>
      <c r="G64" s="18">
        <v>163</v>
      </c>
      <c r="H64" s="16"/>
      <c r="I64" s="18">
        <v>690353</v>
      </c>
      <c r="J64" s="16"/>
      <c r="K64" s="18">
        <v>0</v>
      </c>
      <c r="L64" s="16"/>
      <c r="M64" s="18">
        <v>0</v>
      </c>
      <c r="N64" s="16"/>
      <c r="O64" s="18">
        <v>0</v>
      </c>
      <c r="P64" s="16"/>
      <c r="Q64" s="15">
        <f t="shared" si="9"/>
        <v>692889</v>
      </c>
      <c r="R64" s="35"/>
      <c r="S64" s="15">
        <f t="shared" si="10"/>
        <v>-631088</v>
      </c>
      <c r="U64" s="5">
        <v>-631088.39</v>
      </c>
      <c r="V64" s="4">
        <f t="shared" si="11"/>
        <v>-0.39000000001396984</v>
      </c>
    </row>
    <row r="65" spans="1:22" ht="15">
      <c r="A65" s="11" t="s">
        <v>77</v>
      </c>
      <c r="B65" s="11"/>
      <c r="C65" s="18">
        <v>88786</v>
      </c>
      <c r="D65" s="16"/>
      <c r="E65" s="18">
        <v>1545</v>
      </c>
      <c r="F65" s="16"/>
      <c r="G65" s="18">
        <v>92</v>
      </c>
      <c r="H65" s="16"/>
      <c r="I65" s="18">
        <v>254146</v>
      </c>
      <c r="J65" s="16"/>
      <c r="K65" s="18">
        <v>0</v>
      </c>
      <c r="L65" s="16"/>
      <c r="M65" s="18">
        <v>0</v>
      </c>
      <c r="N65" s="16"/>
      <c r="O65" s="18">
        <v>0</v>
      </c>
      <c r="P65" s="16"/>
      <c r="Q65" s="15">
        <f t="shared" si="9"/>
        <v>255783</v>
      </c>
      <c r="R65" s="35"/>
      <c r="S65" s="15">
        <f t="shared" si="10"/>
        <v>-166997</v>
      </c>
      <c r="U65" s="5">
        <v>-166996.77</v>
      </c>
      <c r="V65" s="4">
        <f t="shared" si="11"/>
        <v>0.23000000001047738</v>
      </c>
    </row>
    <row r="66" spans="1:22" ht="15">
      <c r="A66" s="11" t="s">
        <v>82</v>
      </c>
      <c r="B66" s="11"/>
      <c r="C66" s="18">
        <v>20000</v>
      </c>
      <c r="D66" s="16"/>
      <c r="E66" s="18">
        <v>0</v>
      </c>
      <c r="F66" s="16"/>
      <c r="G66" s="18">
        <v>0</v>
      </c>
      <c r="H66" s="16"/>
      <c r="I66" s="18">
        <v>38135</v>
      </c>
      <c r="J66" s="16"/>
      <c r="K66" s="18">
        <v>0</v>
      </c>
      <c r="L66" s="16"/>
      <c r="M66" s="18">
        <v>0</v>
      </c>
      <c r="N66" s="16"/>
      <c r="O66" s="18">
        <v>0</v>
      </c>
      <c r="P66" s="16"/>
      <c r="Q66" s="15">
        <f t="shared" si="9"/>
        <v>38135</v>
      </c>
      <c r="R66" s="35"/>
      <c r="S66" s="15">
        <f t="shared" si="10"/>
        <v>-18135</v>
      </c>
      <c r="U66" s="5">
        <v>-18134.68</v>
      </c>
      <c r="V66" s="4">
        <f t="shared" si="11"/>
        <v>0.31999999999970896</v>
      </c>
    </row>
    <row r="67" spans="1:22" ht="15">
      <c r="A67" s="11" t="s">
        <v>83</v>
      </c>
      <c r="B67" s="11"/>
      <c r="C67" s="18">
        <v>0</v>
      </c>
      <c r="D67" s="16"/>
      <c r="E67" s="18">
        <v>0</v>
      </c>
      <c r="F67" s="16"/>
      <c r="G67" s="18">
        <v>0</v>
      </c>
      <c r="H67" s="16"/>
      <c r="I67" s="18">
        <v>15575</v>
      </c>
      <c r="J67" s="16"/>
      <c r="K67" s="18">
        <v>0</v>
      </c>
      <c r="L67" s="16"/>
      <c r="M67" s="18">
        <v>0</v>
      </c>
      <c r="N67" s="16"/>
      <c r="O67" s="18">
        <v>0</v>
      </c>
      <c r="P67" s="16"/>
      <c r="Q67" s="15">
        <f t="shared" si="9"/>
        <v>15575</v>
      </c>
      <c r="R67" s="35"/>
      <c r="S67" s="15">
        <f t="shared" si="10"/>
        <v>-15575</v>
      </c>
      <c r="U67" s="5">
        <v>-15575.29</v>
      </c>
      <c r="V67" s="4">
        <f t="shared" si="11"/>
        <v>-0.2900000000008731</v>
      </c>
    </row>
    <row r="68" spans="1:22" ht="15">
      <c r="A68" s="11" t="s">
        <v>78</v>
      </c>
      <c r="B68" s="11"/>
      <c r="C68" s="18">
        <v>11856</v>
      </c>
      <c r="D68" s="16"/>
      <c r="E68" s="18">
        <v>0</v>
      </c>
      <c r="F68" s="16"/>
      <c r="G68" s="18">
        <v>0</v>
      </c>
      <c r="H68" s="16"/>
      <c r="I68" s="18">
        <f>235889-1</f>
        <v>235888</v>
      </c>
      <c r="J68" s="16"/>
      <c r="K68" s="18">
        <v>0</v>
      </c>
      <c r="L68" s="16"/>
      <c r="M68" s="18">
        <v>0</v>
      </c>
      <c r="N68" s="16"/>
      <c r="O68" s="18">
        <v>0</v>
      </c>
      <c r="P68" s="16"/>
      <c r="Q68" s="15">
        <f t="shared" si="9"/>
        <v>235888</v>
      </c>
      <c r="R68" s="35"/>
      <c r="S68" s="15">
        <f t="shared" si="10"/>
        <v>-224032</v>
      </c>
      <c r="U68" s="5">
        <v>-224032.43</v>
      </c>
      <c r="V68" s="4">
        <f t="shared" si="11"/>
        <v>-0.4299999999930151</v>
      </c>
    </row>
    <row r="69" spans="1:22" ht="15">
      <c r="A69" s="11" t="s">
        <v>84</v>
      </c>
      <c r="B69" s="11"/>
      <c r="C69" s="18">
        <v>3840</v>
      </c>
      <c r="D69" s="16"/>
      <c r="E69" s="18">
        <v>0</v>
      </c>
      <c r="F69" s="16"/>
      <c r="G69" s="18">
        <v>0</v>
      </c>
      <c r="H69" s="16"/>
      <c r="I69" s="18">
        <v>117324</v>
      </c>
      <c r="J69" s="16"/>
      <c r="K69" s="18">
        <v>0</v>
      </c>
      <c r="L69" s="16"/>
      <c r="M69" s="18">
        <v>0</v>
      </c>
      <c r="N69" s="16"/>
      <c r="O69" s="18">
        <v>0</v>
      </c>
      <c r="P69" s="16"/>
      <c r="Q69" s="15">
        <f t="shared" si="9"/>
        <v>117324</v>
      </c>
      <c r="R69" s="35"/>
      <c r="S69" s="15">
        <f t="shared" si="10"/>
        <v>-113484</v>
      </c>
      <c r="U69" s="5">
        <v>-113483.64</v>
      </c>
      <c r="V69" s="4">
        <f t="shared" si="11"/>
        <v>0.3600000000005821</v>
      </c>
    </row>
    <row r="70" spans="1:22" ht="15">
      <c r="A70" s="11" t="s">
        <v>85</v>
      </c>
      <c r="B70" s="11"/>
      <c r="C70" s="18">
        <v>0</v>
      </c>
      <c r="D70" s="16"/>
      <c r="E70" s="18">
        <v>0</v>
      </c>
      <c r="F70" s="16"/>
      <c r="G70" s="18">
        <v>0</v>
      </c>
      <c r="H70" s="16"/>
      <c r="I70" s="18">
        <v>7007</v>
      </c>
      <c r="J70" s="16"/>
      <c r="K70" s="18">
        <v>0</v>
      </c>
      <c r="L70" s="16"/>
      <c r="M70" s="18">
        <v>0</v>
      </c>
      <c r="N70" s="16"/>
      <c r="O70" s="18">
        <v>0</v>
      </c>
      <c r="P70" s="16"/>
      <c r="Q70" s="15">
        <f t="shared" si="9"/>
        <v>7007</v>
      </c>
      <c r="R70" s="35"/>
      <c r="S70" s="15">
        <f t="shared" si="10"/>
        <v>-7007</v>
      </c>
      <c r="U70" s="5">
        <v>-7007.05</v>
      </c>
      <c r="V70" s="4">
        <f t="shared" si="11"/>
        <v>-0.0500000000001819</v>
      </c>
    </row>
    <row r="71" spans="1:22" ht="15">
      <c r="A71" s="11" t="s">
        <v>86</v>
      </c>
      <c r="B71" s="11"/>
      <c r="C71" s="18">
        <v>2566</v>
      </c>
      <c r="D71" s="16"/>
      <c r="E71" s="18">
        <v>0</v>
      </c>
      <c r="F71" s="16"/>
      <c r="G71" s="18">
        <v>0</v>
      </c>
      <c r="H71" s="16"/>
      <c r="I71" s="18">
        <v>61918</v>
      </c>
      <c r="J71" s="16"/>
      <c r="K71" s="18">
        <v>0</v>
      </c>
      <c r="L71" s="16"/>
      <c r="M71" s="18">
        <v>0</v>
      </c>
      <c r="N71" s="16"/>
      <c r="O71" s="18">
        <v>0</v>
      </c>
      <c r="P71" s="16"/>
      <c r="Q71" s="15">
        <f t="shared" si="9"/>
        <v>61918</v>
      </c>
      <c r="R71" s="35"/>
      <c r="S71" s="15">
        <f t="shared" si="10"/>
        <v>-59352</v>
      </c>
      <c r="U71" s="5">
        <v>-59351.63</v>
      </c>
      <c r="V71" s="4">
        <f t="shared" si="11"/>
        <v>0.37000000000261934</v>
      </c>
    </row>
    <row r="72" spans="1:22" ht="15">
      <c r="A72" s="11" t="s">
        <v>87</v>
      </c>
      <c r="B72" s="11"/>
      <c r="C72" s="18">
        <v>35501</v>
      </c>
      <c r="D72" s="16"/>
      <c r="E72" s="18">
        <v>0</v>
      </c>
      <c r="F72" s="16"/>
      <c r="G72" s="18">
        <v>0</v>
      </c>
      <c r="H72" s="16"/>
      <c r="I72" s="18">
        <v>544749</v>
      </c>
      <c r="J72" s="16"/>
      <c r="K72" s="18">
        <v>0</v>
      </c>
      <c r="L72" s="16"/>
      <c r="M72" s="18">
        <v>0</v>
      </c>
      <c r="N72" s="16"/>
      <c r="O72" s="18">
        <v>0</v>
      </c>
      <c r="P72" s="16"/>
      <c r="Q72" s="15">
        <f t="shared" si="9"/>
        <v>544749</v>
      </c>
      <c r="R72" s="35"/>
      <c r="S72" s="15">
        <f t="shared" si="10"/>
        <v>-509248</v>
      </c>
      <c r="U72" s="5">
        <v>-509247.67</v>
      </c>
      <c r="V72" s="4">
        <f t="shared" si="11"/>
        <v>0.33000000001629815</v>
      </c>
    </row>
    <row r="73" spans="1:22" ht="15">
      <c r="A73" s="11" t="s">
        <v>103</v>
      </c>
      <c r="B73" s="11"/>
      <c r="C73" s="18">
        <v>8925</v>
      </c>
      <c r="D73" s="16"/>
      <c r="E73" s="18">
        <v>0</v>
      </c>
      <c r="F73" s="16"/>
      <c r="G73" s="18">
        <v>0</v>
      </c>
      <c r="H73" s="16"/>
      <c r="I73" s="18">
        <v>59505</v>
      </c>
      <c r="J73" s="16"/>
      <c r="K73" s="18">
        <v>0</v>
      </c>
      <c r="L73" s="16"/>
      <c r="M73" s="18">
        <v>0</v>
      </c>
      <c r="N73" s="16"/>
      <c r="O73" s="18">
        <v>0</v>
      </c>
      <c r="P73" s="16"/>
      <c r="Q73" s="15">
        <f>SUM(E73:O73)</f>
        <v>59505</v>
      </c>
      <c r="R73" s="35"/>
      <c r="S73" s="15">
        <f>C73-Q73</f>
        <v>-50580</v>
      </c>
      <c r="U73" s="5">
        <v>-50579.88</v>
      </c>
      <c r="V73" s="4">
        <f>U73-S73</f>
        <v>0.12000000000261934</v>
      </c>
    </row>
    <row r="74" spans="1:22" ht="15">
      <c r="A74" s="11" t="s">
        <v>110</v>
      </c>
      <c r="B74" s="11"/>
      <c r="C74" s="18">
        <v>12100</v>
      </c>
      <c r="D74" s="16"/>
      <c r="E74" s="18">
        <v>0</v>
      </c>
      <c r="F74" s="16"/>
      <c r="G74" s="18">
        <v>0</v>
      </c>
      <c r="H74" s="16"/>
      <c r="I74" s="18">
        <v>39594</v>
      </c>
      <c r="J74" s="16"/>
      <c r="K74" s="18">
        <v>0</v>
      </c>
      <c r="L74" s="16"/>
      <c r="M74" s="18">
        <v>0</v>
      </c>
      <c r="N74" s="16"/>
      <c r="O74" s="18">
        <v>0</v>
      </c>
      <c r="P74" s="16"/>
      <c r="Q74" s="15">
        <f t="shared" si="9"/>
        <v>39594</v>
      </c>
      <c r="R74" s="35"/>
      <c r="S74" s="15">
        <f t="shared" si="10"/>
        <v>-27494</v>
      </c>
      <c r="U74" s="5">
        <v>-27494.03</v>
      </c>
      <c r="V74" s="4">
        <f t="shared" si="11"/>
        <v>-0.029999999998835847</v>
      </c>
    </row>
    <row r="75" spans="1:22" ht="15">
      <c r="A75" s="11" t="s">
        <v>88</v>
      </c>
      <c r="B75" s="11"/>
      <c r="C75" s="17">
        <f>SUM(C61:C74)</f>
        <v>2140960</v>
      </c>
      <c r="D75" s="16"/>
      <c r="E75" s="17">
        <f>SUM(E61:E74)</f>
        <v>320208</v>
      </c>
      <c r="F75" s="16"/>
      <c r="G75" s="17">
        <f>SUM(G61:G74)</f>
        <v>141004</v>
      </c>
      <c r="H75" s="16"/>
      <c r="I75" s="17">
        <f>SUM(I61:I74)</f>
        <v>4020519</v>
      </c>
      <c r="J75" s="16"/>
      <c r="K75" s="17">
        <f>SUM(K61:K74)</f>
        <v>0</v>
      </c>
      <c r="L75" s="16"/>
      <c r="M75" s="17">
        <f>SUM(M61:M74)</f>
        <v>0</v>
      </c>
      <c r="N75" s="16"/>
      <c r="O75" s="17">
        <f>SUM(O61:O74)</f>
        <v>0</v>
      </c>
      <c r="P75" s="16"/>
      <c r="Q75" s="17">
        <f>SUM(Q61:Q74)</f>
        <v>4481731</v>
      </c>
      <c r="R75" s="35"/>
      <c r="S75" s="17">
        <f>SUM(S61:S74)</f>
        <v>-2340771</v>
      </c>
      <c r="U75" s="5">
        <f>SUM(U61:U74)</f>
        <v>-2340770.2699999996</v>
      </c>
      <c r="V75" s="4">
        <f t="shared" si="11"/>
        <v>0.7300000004470348</v>
      </c>
    </row>
    <row r="76" spans="1:19" ht="15">
      <c r="A76" s="11"/>
      <c r="B76" s="11"/>
      <c r="C76" s="18"/>
      <c r="D76" s="16"/>
      <c r="E76" s="18"/>
      <c r="F76" s="16"/>
      <c r="G76" s="18"/>
      <c r="H76" s="16"/>
      <c r="I76" s="18"/>
      <c r="J76" s="16"/>
      <c r="K76" s="18"/>
      <c r="L76" s="16"/>
      <c r="M76" s="18"/>
      <c r="N76" s="16"/>
      <c r="O76" s="18"/>
      <c r="P76" s="16"/>
      <c r="Q76" s="15"/>
      <c r="R76" s="35"/>
      <c r="S76" s="15"/>
    </row>
    <row r="77" spans="1:19" ht="15.75" thickBot="1">
      <c r="A77" s="11" t="s">
        <v>89</v>
      </c>
      <c r="B77" s="11"/>
      <c r="C77" s="37">
        <f>C75</f>
        <v>2140960</v>
      </c>
      <c r="D77" s="16"/>
      <c r="E77" s="37">
        <f>E75</f>
        <v>320208</v>
      </c>
      <c r="F77" s="16"/>
      <c r="G77" s="37">
        <f>G75</f>
        <v>141004</v>
      </c>
      <c r="H77" s="16"/>
      <c r="I77" s="37">
        <f>I75</f>
        <v>4020519</v>
      </c>
      <c r="J77" s="16"/>
      <c r="K77" s="37">
        <f>K75</f>
        <v>0</v>
      </c>
      <c r="L77" s="16"/>
      <c r="M77" s="37">
        <f>M75</f>
        <v>0</v>
      </c>
      <c r="N77" s="16"/>
      <c r="O77" s="37">
        <f>O75</f>
        <v>0</v>
      </c>
      <c r="P77" s="16"/>
      <c r="Q77" s="37">
        <f>Q75</f>
        <v>4481731</v>
      </c>
      <c r="R77" s="35"/>
      <c r="S77" s="37">
        <f>S75</f>
        <v>-2340771</v>
      </c>
    </row>
    <row r="78" spans="1:19" ht="15.75" thickTop="1">
      <c r="A78" s="11"/>
      <c r="B78" s="11"/>
      <c r="C78" s="18"/>
      <c r="D78" s="16"/>
      <c r="E78" s="18"/>
      <c r="F78" s="16"/>
      <c r="G78" s="18"/>
      <c r="H78" s="16"/>
      <c r="I78" s="18"/>
      <c r="J78" s="16"/>
      <c r="K78" s="18"/>
      <c r="L78" s="16"/>
      <c r="M78" s="18"/>
      <c r="N78" s="16"/>
      <c r="O78" s="18"/>
      <c r="P78" s="16"/>
      <c r="Q78" s="15"/>
      <c r="R78" s="35"/>
      <c r="S78" s="15"/>
    </row>
    <row r="79" spans="1:22" ht="15.75" thickBot="1">
      <c r="A79" s="11" t="s">
        <v>90</v>
      </c>
      <c r="B79" s="11"/>
      <c r="C79" s="38">
        <f>C77+C57</f>
        <v>131000210</v>
      </c>
      <c r="D79" s="16"/>
      <c r="E79" s="38">
        <f>E77+E57</f>
        <v>32370320</v>
      </c>
      <c r="F79" s="16"/>
      <c r="G79" s="38">
        <f>G77+G57</f>
        <v>10607396</v>
      </c>
      <c r="H79" s="16"/>
      <c r="I79" s="38">
        <f>I77+I57</f>
        <v>61696618</v>
      </c>
      <c r="J79" s="16"/>
      <c r="K79" s="38">
        <f>K77+K57</f>
        <v>7890438</v>
      </c>
      <c r="L79" s="16"/>
      <c r="M79" s="38">
        <f>M77+M57</f>
        <v>15188999</v>
      </c>
      <c r="N79" s="16"/>
      <c r="O79" s="38">
        <f>O77+O57</f>
        <v>570073</v>
      </c>
      <c r="P79" s="16"/>
      <c r="Q79" s="38">
        <f>Q77+Q57</f>
        <v>128323844</v>
      </c>
      <c r="R79" s="16"/>
      <c r="S79" s="38">
        <f>S77+S57</f>
        <v>2676366</v>
      </c>
      <c r="U79" s="5">
        <v>9876147.6</v>
      </c>
      <c r="V79" s="6">
        <f>U79-S79</f>
        <v>7199781.6</v>
      </c>
    </row>
    <row r="80" ht="13.5" thickTop="1">
      <c r="A80" s="3"/>
    </row>
    <row r="82" spans="3:19" ht="12.75">
      <c r="C82" s="7">
        <f>C79-C22</f>
        <v>105765246</v>
      </c>
      <c r="D82" s="7"/>
      <c r="E82" s="7">
        <f>E79</f>
        <v>32370320</v>
      </c>
      <c r="F82" s="7">
        <f aca="true" t="shared" si="12" ref="F82:S82">F79</f>
        <v>0</v>
      </c>
      <c r="G82" s="7">
        <f t="shared" si="12"/>
        <v>10607396</v>
      </c>
      <c r="H82" s="7">
        <f t="shared" si="12"/>
        <v>0</v>
      </c>
      <c r="I82" s="7">
        <f t="shared" si="12"/>
        <v>61696618</v>
      </c>
      <c r="J82" s="7">
        <f t="shared" si="12"/>
        <v>0</v>
      </c>
      <c r="K82" s="7">
        <f t="shared" si="12"/>
        <v>7890438</v>
      </c>
      <c r="L82" s="7">
        <f t="shared" si="12"/>
        <v>0</v>
      </c>
      <c r="M82" s="7">
        <f t="shared" si="12"/>
        <v>15188999</v>
      </c>
      <c r="N82" s="7">
        <f t="shared" si="12"/>
        <v>0</v>
      </c>
      <c r="O82" s="7">
        <f t="shared" si="12"/>
        <v>570073</v>
      </c>
      <c r="P82" s="7">
        <f t="shared" si="12"/>
        <v>0</v>
      </c>
      <c r="Q82" s="7"/>
      <c r="R82" s="7">
        <f t="shared" si="12"/>
        <v>0</v>
      </c>
      <c r="S82" s="7">
        <f t="shared" si="12"/>
        <v>2676366</v>
      </c>
    </row>
    <row r="83" spans="3:19" ht="12.75">
      <c r="C83" s="7">
        <f>Related!C16</f>
        <v>27131721</v>
      </c>
      <c r="D83" s="7">
        <f>Related!D16</f>
        <v>0</v>
      </c>
      <c r="E83" s="7">
        <f>Related!E16</f>
        <v>835402</v>
      </c>
      <c r="F83" s="7">
        <f>Related!F16</f>
        <v>0</v>
      </c>
      <c r="G83" s="7">
        <f>Related!G16</f>
        <v>155519</v>
      </c>
      <c r="H83" s="7">
        <f>Related!H16</f>
        <v>0</v>
      </c>
      <c r="I83" s="7">
        <f>Related!I16</f>
        <v>763027</v>
      </c>
      <c r="J83" s="7">
        <f>Related!J16</f>
        <v>0</v>
      </c>
      <c r="K83" s="7">
        <f>Related!K16</f>
        <v>5790</v>
      </c>
      <c r="L83" s="7">
        <f>Related!L16</f>
        <v>0</v>
      </c>
      <c r="M83" s="7"/>
      <c r="N83" s="7">
        <f>Related!N16</f>
        <v>0</v>
      </c>
      <c r="O83" s="7">
        <f>Related!M16</f>
        <v>137019</v>
      </c>
      <c r="P83" s="7">
        <f>Related!P16</f>
        <v>0</v>
      </c>
      <c r="Q83" s="7"/>
      <c r="R83" s="7">
        <f>Related!R16</f>
        <v>0</v>
      </c>
      <c r="S83" s="7"/>
    </row>
    <row r="84" spans="3:21" ht="12.75">
      <c r="C84" s="7">
        <f>SUM(C82:C83)</f>
        <v>132896967</v>
      </c>
      <c r="D84" s="7">
        <f aca="true" t="shared" si="13" ref="D84:R84">SUM(D82:D83)</f>
        <v>0</v>
      </c>
      <c r="E84" s="7">
        <f t="shared" si="13"/>
        <v>33205722</v>
      </c>
      <c r="F84" s="7">
        <f t="shared" si="13"/>
        <v>0</v>
      </c>
      <c r="G84" s="7">
        <f t="shared" si="13"/>
        <v>10762915</v>
      </c>
      <c r="H84" s="7">
        <f t="shared" si="13"/>
        <v>0</v>
      </c>
      <c r="I84" s="7">
        <f t="shared" si="13"/>
        <v>62459645</v>
      </c>
      <c r="J84" s="7">
        <f t="shared" si="13"/>
        <v>0</v>
      </c>
      <c r="K84" s="7">
        <f t="shared" si="13"/>
        <v>7896228</v>
      </c>
      <c r="L84" s="7">
        <f t="shared" si="13"/>
        <v>0</v>
      </c>
      <c r="M84" s="7">
        <f t="shared" si="13"/>
        <v>15188999</v>
      </c>
      <c r="N84" s="7">
        <f t="shared" si="13"/>
        <v>0</v>
      </c>
      <c r="O84" s="7">
        <f t="shared" si="13"/>
        <v>707092</v>
      </c>
      <c r="P84" s="7">
        <f t="shared" si="13"/>
        <v>0</v>
      </c>
      <c r="Q84" s="7">
        <f>SUM(E84:O84)</f>
        <v>130220601</v>
      </c>
      <c r="R84" s="7">
        <f t="shared" si="13"/>
        <v>0</v>
      </c>
      <c r="S84" s="7">
        <f>C84-Q84</f>
        <v>2676366</v>
      </c>
      <c r="U84" s="5">
        <f>S84-3-1-1+1</f>
        <v>2676362</v>
      </c>
    </row>
    <row r="85" ht="12.75">
      <c r="C85" s="7"/>
    </row>
    <row r="86" spans="3:19" ht="12.75">
      <c r="C86" s="39">
        <v>132896966.68</v>
      </c>
      <c r="D86" s="39"/>
      <c r="E86" s="39">
        <v>33205722.18</v>
      </c>
      <c r="F86" s="39"/>
      <c r="G86" s="39">
        <v>10762914.99</v>
      </c>
      <c r="H86" s="39"/>
      <c r="I86" s="39">
        <v>62459644.93</v>
      </c>
      <c r="J86" s="39"/>
      <c r="K86" s="39">
        <v>7896227.8</v>
      </c>
      <c r="L86" s="39"/>
      <c r="M86" s="39">
        <v>15188999.03</v>
      </c>
      <c r="N86" s="39"/>
      <c r="O86" s="39">
        <v>707091.85</v>
      </c>
      <c r="P86" s="39"/>
      <c r="Q86" s="40">
        <f>SUM(E86:O86)</f>
        <v>130220600.77999999</v>
      </c>
      <c r="R86" s="5"/>
      <c r="S86" s="5">
        <v>2676365.9</v>
      </c>
    </row>
    <row r="87" spans="3:19" ht="12.75">
      <c r="C87" s="5">
        <f>C86-C84</f>
        <v>-0.3199999928474426</v>
      </c>
      <c r="D87" s="5">
        <f aca="true" t="shared" si="14" ref="D87:Q87">D86-D84</f>
        <v>0</v>
      </c>
      <c r="E87" s="42">
        <f t="shared" si="14"/>
        <v>0.17999999970197678</v>
      </c>
      <c r="F87" s="5">
        <f t="shared" si="14"/>
        <v>0</v>
      </c>
      <c r="G87" s="5">
        <f t="shared" si="14"/>
        <v>-0.009999999776482582</v>
      </c>
      <c r="H87" s="5">
        <f t="shared" si="14"/>
        <v>0</v>
      </c>
      <c r="I87" s="42">
        <f t="shared" si="14"/>
        <v>-0.07000000029802322</v>
      </c>
      <c r="J87" s="5">
        <f t="shared" si="14"/>
        <v>0</v>
      </c>
      <c r="K87" s="42">
        <f t="shared" si="14"/>
        <v>-0.20000000018626451</v>
      </c>
      <c r="L87" s="5">
        <f t="shared" si="14"/>
        <v>0</v>
      </c>
      <c r="M87" s="42">
        <f t="shared" si="14"/>
        <v>0.029999999329447746</v>
      </c>
      <c r="N87" s="5">
        <f t="shared" si="14"/>
        <v>0</v>
      </c>
      <c r="O87" s="5">
        <f t="shared" si="14"/>
        <v>-0.15000000002328306</v>
      </c>
      <c r="Q87" s="5">
        <f t="shared" si="14"/>
        <v>-0.2200000137090683</v>
      </c>
      <c r="S87" s="6">
        <f>C86-Q86</f>
        <v>2676365.900000021</v>
      </c>
    </row>
    <row r="88" ht="12.75">
      <c r="S88" s="6">
        <f>S87-S86</f>
        <v>2.0954757928848267E-08</v>
      </c>
    </row>
    <row r="92" spans="1:23" ht="15">
      <c r="A92" s="11" t="s">
        <v>100</v>
      </c>
      <c r="B92" s="11"/>
      <c r="C92" s="15">
        <v>0</v>
      </c>
      <c r="D92" s="35"/>
      <c r="E92" s="15">
        <v>0</v>
      </c>
      <c r="F92" s="35"/>
      <c r="G92" s="15">
        <v>0</v>
      </c>
      <c r="H92" s="35"/>
      <c r="I92" s="15">
        <v>0</v>
      </c>
      <c r="J92" s="35"/>
      <c r="K92" s="15">
        <v>0</v>
      </c>
      <c r="L92" s="35"/>
      <c r="M92" s="15">
        <v>0</v>
      </c>
      <c r="N92" s="35"/>
      <c r="O92" s="15">
        <v>0</v>
      </c>
      <c r="P92" s="35"/>
      <c r="Q92" s="15">
        <f>SUM(E92:O92)</f>
        <v>0</v>
      </c>
      <c r="R92" s="35"/>
      <c r="S92" s="15">
        <f>C92-Q92</f>
        <v>0</v>
      </c>
      <c r="U92" s="5">
        <v>0</v>
      </c>
      <c r="V92" s="4">
        <f>U92-S92</f>
        <v>0</v>
      </c>
      <c r="W92" s="5" t="s">
        <v>126</v>
      </c>
    </row>
  </sheetData>
  <sheetProtection/>
  <mergeCells count="5">
    <mergeCell ref="C3:S3"/>
    <mergeCell ref="C5:S5"/>
    <mergeCell ref="C6:S6"/>
    <mergeCell ref="E9:Q9"/>
    <mergeCell ref="A3:A6"/>
  </mergeCells>
  <conditionalFormatting sqref="A92:S92 A12:S7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7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8"/>
  <sheetViews>
    <sheetView zoomScalePageLayoutView="0" workbookViewId="0" topLeftCell="A1">
      <selection activeCell="E18" sqref="E18:M18"/>
    </sheetView>
  </sheetViews>
  <sheetFormatPr defaultColWidth="9.140625" defaultRowHeight="15"/>
  <cols>
    <col min="1" max="1" width="23.7109375" style="1" bestFit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0" width="1.7109375" style="1" customWidth="1"/>
    <col min="11" max="11" width="13.7109375" style="1" customWidth="1"/>
    <col min="12" max="12" width="1.7109375" style="1" customWidth="1"/>
    <col min="13" max="13" width="13.7109375" style="1" customWidth="1"/>
    <col min="14" max="14" width="1.7109375" style="1" customWidth="1"/>
    <col min="15" max="15" width="13.7109375" style="1" customWidth="1"/>
    <col min="16" max="16" width="1.7109375" style="1" customWidth="1"/>
    <col min="17" max="17" width="13.7109375" style="1" customWidth="1"/>
    <col min="18" max="18" width="9.140625" style="1" customWidth="1"/>
    <col min="19" max="19" width="12.00390625" style="1" bestFit="1" customWidth="1"/>
    <col min="20" max="16384" width="9.140625" style="1" customWidth="1"/>
  </cols>
  <sheetData>
    <row r="3" spans="1:17" ht="15.75">
      <c r="A3" s="49"/>
      <c r="C3" s="45" t="s">
        <v>91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9" customHeight="1">
      <c r="A4" s="49"/>
      <c r="C4" s="8"/>
      <c r="D4" s="9"/>
      <c r="E4" s="10"/>
      <c r="F4" s="9"/>
      <c r="G4" s="10"/>
      <c r="H4" s="9"/>
      <c r="I4" s="10"/>
      <c r="J4" s="10"/>
      <c r="K4" s="10"/>
      <c r="L4" s="9"/>
      <c r="M4" s="10"/>
      <c r="N4" s="9"/>
      <c r="O4" s="10"/>
      <c r="P4" s="9"/>
      <c r="Q4" s="10"/>
    </row>
    <row r="5" spans="1:17" ht="15">
      <c r="A5" s="49"/>
      <c r="C5" s="46" t="s">
        <v>98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>
      <c r="A6" s="49"/>
      <c r="C6" s="46" t="s">
        <v>109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2:17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s="2" customFormat="1" ht="15">
      <c r="B9" s="27"/>
      <c r="C9" s="28"/>
      <c r="D9" s="2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27"/>
      <c r="Q9" s="29" t="s">
        <v>29</v>
      </c>
    </row>
    <row r="10" spans="2:17" s="31" customFormat="1" ht="15">
      <c r="B10" s="29"/>
      <c r="C10" s="29"/>
      <c r="D10" s="29"/>
      <c r="E10" s="29" t="s">
        <v>102</v>
      </c>
      <c r="F10" s="29"/>
      <c r="G10" s="29" t="s">
        <v>22</v>
      </c>
      <c r="H10" s="29"/>
      <c r="I10" s="29" t="s">
        <v>24</v>
      </c>
      <c r="J10" s="29"/>
      <c r="K10" s="29"/>
      <c r="L10" s="29"/>
      <c r="M10" s="29"/>
      <c r="N10" s="29"/>
      <c r="O10" s="29"/>
      <c r="P10" s="29"/>
      <c r="Q10" s="29" t="s">
        <v>30</v>
      </c>
    </row>
    <row r="11" spans="2:17" s="31" customFormat="1" ht="15">
      <c r="B11" s="29"/>
      <c r="C11" s="33" t="s">
        <v>29</v>
      </c>
      <c r="D11" s="29"/>
      <c r="E11" s="33" t="s">
        <v>21</v>
      </c>
      <c r="F11" s="29"/>
      <c r="G11" s="33" t="s">
        <v>23</v>
      </c>
      <c r="H11" s="29"/>
      <c r="I11" s="33" t="s">
        <v>25</v>
      </c>
      <c r="J11" s="28"/>
      <c r="K11" s="33" t="s">
        <v>107</v>
      </c>
      <c r="L11" s="29"/>
      <c r="M11" s="33" t="s">
        <v>28</v>
      </c>
      <c r="N11" s="29"/>
      <c r="O11" s="33" t="s">
        <v>18</v>
      </c>
      <c r="P11" s="29"/>
      <c r="Q11" s="33" t="s">
        <v>31</v>
      </c>
    </row>
    <row r="12" spans="1:17" ht="15">
      <c r="A12" s="11"/>
      <c r="B12" s="11"/>
      <c r="C12" s="11"/>
      <c r="D12" s="12"/>
      <c r="E12" s="11"/>
      <c r="F12" s="12"/>
      <c r="G12" s="11"/>
      <c r="H12" s="12"/>
      <c r="I12" s="11"/>
      <c r="J12" s="11"/>
      <c r="K12" s="11"/>
      <c r="L12" s="12"/>
      <c r="M12" s="11"/>
      <c r="N12" s="12"/>
      <c r="O12" s="11"/>
      <c r="P12" s="12"/>
      <c r="Q12" s="11"/>
    </row>
    <row r="13" spans="1:20" ht="15">
      <c r="A13" s="11" t="s">
        <v>92</v>
      </c>
      <c r="B13" s="11"/>
      <c r="C13" s="34">
        <v>760770</v>
      </c>
      <c r="D13" s="24"/>
      <c r="E13" s="34">
        <v>0</v>
      </c>
      <c r="F13" s="24"/>
      <c r="G13" s="34">
        <v>0</v>
      </c>
      <c r="H13" s="24"/>
      <c r="I13" s="34">
        <v>22297</v>
      </c>
      <c r="J13" s="34"/>
      <c r="K13" s="34">
        <v>5790</v>
      </c>
      <c r="L13" s="24"/>
      <c r="M13" s="34">
        <v>7241</v>
      </c>
      <c r="N13" s="24"/>
      <c r="O13" s="34">
        <f>SUM(E13:M13)</f>
        <v>35328</v>
      </c>
      <c r="P13" s="24"/>
      <c r="Q13" s="34">
        <f>C13-O13</f>
        <v>725442</v>
      </c>
      <c r="S13" s="1">
        <v>725441.99</v>
      </c>
      <c r="T13" s="4">
        <f>S13-Q13</f>
        <v>-0.010000000009313226</v>
      </c>
    </row>
    <row r="14" spans="1:20" ht="15">
      <c r="A14" s="11" t="s">
        <v>93</v>
      </c>
      <c r="B14" s="11"/>
      <c r="C14" s="15">
        <v>3065472</v>
      </c>
      <c r="D14" s="12"/>
      <c r="E14" s="15">
        <v>0</v>
      </c>
      <c r="F14" s="12"/>
      <c r="G14" s="15">
        <v>0</v>
      </c>
      <c r="H14" s="12"/>
      <c r="I14" s="15">
        <v>128549</v>
      </c>
      <c r="J14" s="15"/>
      <c r="K14" s="15">
        <v>0</v>
      </c>
      <c r="L14" s="12"/>
      <c r="M14" s="15">
        <v>5152</v>
      </c>
      <c r="N14" s="12"/>
      <c r="O14" s="15">
        <f>SUM(E14:M14)</f>
        <v>133701</v>
      </c>
      <c r="P14" s="12"/>
      <c r="Q14" s="11">
        <f>C14-O14</f>
        <v>2931771</v>
      </c>
      <c r="S14" s="1">
        <v>2931771.41</v>
      </c>
      <c r="T14" s="4">
        <f>S14-Q14</f>
        <v>0.4100000001490116</v>
      </c>
    </row>
    <row r="15" spans="1:20" ht="15">
      <c r="A15" s="11" t="s">
        <v>106</v>
      </c>
      <c r="B15" s="11"/>
      <c r="C15" s="15">
        <v>23305479</v>
      </c>
      <c r="D15" s="35"/>
      <c r="E15" s="15">
        <v>835402</v>
      </c>
      <c r="F15" s="35"/>
      <c r="G15" s="15">
        <v>155519</v>
      </c>
      <c r="H15" s="35"/>
      <c r="I15" s="15">
        <v>612181</v>
      </c>
      <c r="J15" s="15"/>
      <c r="K15" s="15">
        <v>0</v>
      </c>
      <c r="L15" s="35"/>
      <c r="M15" s="15">
        <f>124625+1</f>
        <v>124626</v>
      </c>
      <c r="N15" s="35"/>
      <c r="O15" s="15">
        <f>SUM(E15:M15)</f>
        <v>1727728</v>
      </c>
      <c r="P15" s="35"/>
      <c r="Q15" s="15">
        <f>C15-O15</f>
        <v>21577751</v>
      </c>
      <c r="S15" s="1">
        <v>21577750.8</v>
      </c>
      <c r="T15" s="4">
        <f>S15-Q15</f>
        <v>-0.19999999925494194</v>
      </c>
    </row>
    <row r="16" spans="1:20" ht="15.75" thickBot="1">
      <c r="A16" s="11" t="s">
        <v>48</v>
      </c>
      <c r="B16" s="11"/>
      <c r="C16" s="38">
        <f>SUM(C13:C15)</f>
        <v>27131721</v>
      </c>
      <c r="D16" s="16"/>
      <c r="E16" s="38">
        <f>SUM(E13:E15)</f>
        <v>835402</v>
      </c>
      <c r="F16" s="16"/>
      <c r="G16" s="38">
        <f>SUM(G13:G15)</f>
        <v>155519</v>
      </c>
      <c r="H16" s="16"/>
      <c r="I16" s="38">
        <f>SUM(I13:I15)</f>
        <v>763027</v>
      </c>
      <c r="J16" s="24"/>
      <c r="K16" s="38">
        <f>SUM(K13:K15)</f>
        <v>5790</v>
      </c>
      <c r="L16" s="16"/>
      <c r="M16" s="38">
        <f>SUM(M13:M15)</f>
        <v>137019</v>
      </c>
      <c r="N16" s="16"/>
      <c r="O16" s="38">
        <f>SUM(O13:O15)</f>
        <v>1896757</v>
      </c>
      <c r="P16" s="16"/>
      <c r="Q16" s="38">
        <f>SUM(Q13:Q15)</f>
        <v>25234964</v>
      </c>
      <c r="S16" s="1">
        <f>SUM(S13:S15)</f>
        <v>25234964.200000003</v>
      </c>
      <c r="T16" s="4">
        <f>S16-Q16</f>
        <v>0.20000000298023224</v>
      </c>
    </row>
    <row r="17" spans="1:17" ht="15.75" thickTop="1">
      <c r="A17" s="11"/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2.75">
      <c r="A18" s="3"/>
    </row>
  </sheetData>
  <sheetProtection/>
  <mergeCells count="5">
    <mergeCell ref="C3:Q3"/>
    <mergeCell ref="C5:Q5"/>
    <mergeCell ref="C6:Q6"/>
    <mergeCell ref="E9:O9"/>
    <mergeCell ref="A3:A6"/>
  </mergeCells>
  <conditionalFormatting sqref="A12:Q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2019-01-08T21:45:27Z</cp:lastPrinted>
  <dcterms:created xsi:type="dcterms:W3CDTF">2009-06-22T13:37:23Z</dcterms:created>
  <dcterms:modified xsi:type="dcterms:W3CDTF">2019-01-18T15:56:19Z</dcterms:modified>
  <cp:category/>
  <cp:version/>
  <cp:contentType/>
  <cp:contentStatus/>
</cp:coreProperties>
</file>